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120" yWindow="45" windowWidth="15600" windowHeight="8250" firstSheet="1" activeTab="2"/>
  </bookViews>
  <sheets>
    <sheet name="Hoja1" sheetId="14" state="hidden" r:id="rId1"/>
    <sheet name="GCP" sheetId="15" r:id="rId2"/>
    <sheet name="EAEPE" sheetId="1" r:id="rId3"/>
    <sheet name="CFG" sheetId="5" r:id="rId4"/>
    <sheet name="COG" sheetId="6" r:id="rId5"/>
    <sheet name="CTG" sheetId="8" r:id="rId6"/>
    <sheet name="CA_Ayuntamiento" sheetId="12" r:id="rId7"/>
    <sheet name="CA_Ejecutivo_Estatal" sheetId="10" r:id="rId8"/>
    <sheet name="CA_No_Central" sheetId="4" r:id="rId9"/>
    <sheet name="Hoja2" sheetId="16" r:id="rId10"/>
  </sheets>
  <externalReferences>
    <externalReference r:id="rId11"/>
  </externalReferences>
  <definedNames>
    <definedName name="_xlnm._FilterDatabase" localSheetId="3" hidden="1">CFG!$A$2:$H$35</definedName>
    <definedName name="_xlnm._FilterDatabase" localSheetId="4" hidden="1">COG!$A$2:$H$75</definedName>
    <definedName name="_xlnm.Print_Titles" localSheetId="4">COG!$1:$2</definedName>
  </definedNames>
  <calcPr calcId="145621"/>
</workbook>
</file>

<file path=xl/calcChain.xml><?xml version="1.0" encoding="utf-8"?>
<calcChain xmlns="http://schemas.openxmlformats.org/spreadsheetml/2006/main">
  <c r="E110" i="16" l="1"/>
  <c r="D110" i="16"/>
  <c r="C110" i="16"/>
  <c r="O575" i="1"/>
  <c r="O1046" i="1" l="1"/>
  <c r="N1046" i="1"/>
  <c r="M1046" i="1"/>
  <c r="L1046" i="1"/>
  <c r="K1046" i="1"/>
  <c r="J1046" i="1"/>
  <c r="I1046" i="1"/>
  <c r="J1048" i="1"/>
  <c r="J1047" i="1"/>
  <c r="L571" i="1"/>
  <c r="E106" i="16"/>
  <c r="D106" i="16"/>
  <c r="C106" i="16"/>
  <c r="O571" i="1"/>
  <c r="E4" i="16"/>
  <c r="E5" i="16"/>
  <c r="E6" i="16"/>
  <c r="E7" i="16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8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49" i="16"/>
  <c r="E50" i="16"/>
  <c r="E51" i="16"/>
  <c r="E52" i="16"/>
  <c r="E53" i="16"/>
  <c r="E54" i="16"/>
  <c r="E55" i="16"/>
  <c r="E56" i="16"/>
  <c r="E57" i="16"/>
  <c r="E58" i="16"/>
  <c r="E59" i="16"/>
  <c r="E60" i="16"/>
  <c r="E61" i="16"/>
  <c r="E62" i="16"/>
  <c r="E63" i="16"/>
  <c r="E64" i="16"/>
  <c r="E65" i="16"/>
  <c r="E66" i="16"/>
  <c r="E67" i="16"/>
  <c r="E68" i="16"/>
  <c r="E69" i="16"/>
  <c r="E70" i="16"/>
  <c r="E71" i="16"/>
  <c r="E72" i="16"/>
  <c r="E73" i="16"/>
  <c r="E74" i="16"/>
  <c r="E75" i="16"/>
  <c r="E76" i="16"/>
  <c r="E77" i="16"/>
  <c r="E78" i="16"/>
  <c r="E79" i="16"/>
  <c r="E80" i="16"/>
  <c r="E81" i="16"/>
  <c r="E82" i="16"/>
  <c r="E83" i="16"/>
  <c r="E84" i="16"/>
  <c r="E85" i="16"/>
  <c r="E86" i="16"/>
  <c r="E87" i="16"/>
  <c r="E88" i="16"/>
  <c r="E89" i="16"/>
  <c r="E90" i="16"/>
  <c r="E91" i="16"/>
  <c r="E92" i="16"/>
  <c r="E93" i="16"/>
  <c r="E94" i="16"/>
  <c r="E95" i="16"/>
  <c r="E96" i="16"/>
  <c r="E97" i="16"/>
  <c r="E98" i="16"/>
  <c r="E99" i="16"/>
  <c r="E101" i="16"/>
  <c r="E102" i="16"/>
  <c r="E103" i="16"/>
  <c r="E104" i="16"/>
  <c r="E105" i="16"/>
  <c r="E107" i="16"/>
  <c r="E108" i="16"/>
  <c r="E109" i="16"/>
  <c r="E111" i="16"/>
  <c r="E112" i="16"/>
  <c r="E113" i="16"/>
  <c r="E114" i="16"/>
  <c r="E115" i="16"/>
  <c r="E116" i="16"/>
  <c r="E117" i="16"/>
  <c r="E118" i="16"/>
  <c r="E119" i="16"/>
  <c r="E120" i="16"/>
  <c r="E3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39" i="16"/>
  <c r="D40" i="16"/>
  <c r="D41" i="16"/>
  <c r="D42" i="16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D67" i="16"/>
  <c r="D68" i="16"/>
  <c r="D69" i="16"/>
  <c r="D70" i="16"/>
  <c r="D71" i="16"/>
  <c r="D72" i="16"/>
  <c r="D73" i="16"/>
  <c r="D74" i="16"/>
  <c r="D75" i="16"/>
  <c r="D76" i="16"/>
  <c r="D77" i="16"/>
  <c r="D78" i="16"/>
  <c r="D79" i="16"/>
  <c r="D80" i="16"/>
  <c r="D81" i="16"/>
  <c r="D82" i="16"/>
  <c r="D83" i="16"/>
  <c r="D84" i="16"/>
  <c r="D85" i="16"/>
  <c r="D86" i="16"/>
  <c r="D87" i="16"/>
  <c r="D88" i="16"/>
  <c r="D89" i="16"/>
  <c r="D90" i="16"/>
  <c r="D91" i="16"/>
  <c r="D92" i="16"/>
  <c r="D93" i="16"/>
  <c r="D94" i="16"/>
  <c r="D95" i="16"/>
  <c r="D96" i="16"/>
  <c r="D97" i="16"/>
  <c r="D98" i="16"/>
  <c r="D99" i="16"/>
  <c r="D101" i="16"/>
  <c r="D102" i="16"/>
  <c r="D103" i="16"/>
  <c r="D104" i="16"/>
  <c r="D105" i="16"/>
  <c r="D107" i="16"/>
  <c r="D108" i="16"/>
  <c r="D109" i="16"/>
  <c r="D111" i="16"/>
  <c r="D112" i="16"/>
  <c r="D113" i="16"/>
  <c r="D114" i="16"/>
  <c r="D116" i="16"/>
  <c r="D117" i="16"/>
  <c r="D118" i="16"/>
  <c r="D119" i="16"/>
  <c r="D120" i="16"/>
  <c r="D4" i="16"/>
  <c r="D5" i="16"/>
  <c r="D6" i="16"/>
  <c r="D3" i="16"/>
  <c r="C3" i="16"/>
  <c r="C4" i="16"/>
  <c r="C5" i="16"/>
  <c r="C6" i="16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1" i="16"/>
  <c r="C42" i="16"/>
  <c r="C43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90" i="16"/>
  <c r="C91" i="16"/>
  <c r="C92" i="16"/>
  <c r="C93" i="16"/>
  <c r="C94" i="16"/>
  <c r="C95" i="16"/>
  <c r="C96" i="16"/>
  <c r="C97" i="16"/>
  <c r="C98" i="16"/>
  <c r="C99" i="16"/>
  <c r="C101" i="16"/>
  <c r="C102" i="16"/>
  <c r="C103" i="16"/>
  <c r="C104" i="16"/>
  <c r="C105" i="16"/>
  <c r="C107" i="16"/>
  <c r="C108" i="16"/>
  <c r="C109" i="16"/>
  <c r="C111" i="16"/>
  <c r="C112" i="16"/>
  <c r="C113" i="16"/>
  <c r="C114" i="16"/>
  <c r="C115" i="16"/>
  <c r="C116" i="16"/>
  <c r="C117" i="16"/>
  <c r="C118" i="16"/>
  <c r="C119" i="16"/>
  <c r="C120" i="16"/>
  <c r="H1046" i="1"/>
  <c r="O1051" i="1" l="1"/>
  <c r="H29" i="15" l="1"/>
  <c r="G29" i="15"/>
  <c r="F29" i="15"/>
  <c r="E29" i="15"/>
  <c r="D29" i="15"/>
  <c r="C29" i="15"/>
  <c r="H17" i="15"/>
  <c r="G17" i="15"/>
  <c r="F17" i="15"/>
  <c r="E17" i="15"/>
  <c r="D17" i="15"/>
  <c r="C17" i="15"/>
  <c r="H5" i="15"/>
  <c r="G5" i="15"/>
  <c r="F5" i="15"/>
  <c r="E5" i="15"/>
  <c r="D5" i="15"/>
  <c r="C5" i="15"/>
  <c r="H35" i="5" l="1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1" i="5"/>
  <c r="H10" i="5"/>
  <c r="H8" i="5"/>
  <c r="H6" i="5"/>
  <c r="H5" i="5"/>
  <c r="H9" i="10" l="1"/>
  <c r="G9" i="10"/>
  <c r="F9" i="10"/>
  <c r="E9" i="10"/>
  <c r="D9" i="10"/>
  <c r="D3" i="10" s="1"/>
  <c r="C9" i="10"/>
  <c r="H4" i="10"/>
  <c r="G4" i="10"/>
  <c r="G3" i="10" s="1"/>
  <c r="F4" i="10"/>
  <c r="F3" i="10" s="1"/>
  <c r="E4" i="10"/>
  <c r="D4" i="10"/>
  <c r="C4" i="10"/>
  <c r="C3" i="10" s="1"/>
  <c r="H3" i="10"/>
  <c r="E3" i="10"/>
  <c r="H4" i="12"/>
  <c r="G4" i="12"/>
  <c r="F4" i="12"/>
  <c r="E4" i="12"/>
  <c r="D4" i="12"/>
  <c r="C4" i="12"/>
  <c r="G75" i="6"/>
  <c r="F75" i="6"/>
  <c r="E75" i="6"/>
  <c r="D75" i="6"/>
  <c r="C75" i="6"/>
  <c r="G74" i="6"/>
  <c r="F74" i="6"/>
  <c r="E74" i="6"/>
  <c r="D74" i="6"/>
  <c r="C74" i="6"/>
  <c r="G73" i="6"/>
  <c r="F73" i="6"/>
  <c r="E73" i="6"/>
  <c r="D73" i="6"/>
  <c r="C73" i="6"/>
  <c r="G72" i="6"/>
  <c r="F72" i="6"/>
  <c r="E72" i="6"/>
  <c r="D72" i="6"/>
  <c r="C72" i="6"/>
  <c r="G71" i="6"/>
  <c r="F71" i="6"/>
  <c r="E71" i="6"/>
  <c r="H71" i="6" s="1"/>
  <c r="D71" i="6"/>
  <c r="C71" i="6"/>
  <c r="G70" i="6"/>
  <c r="F70" i="6"/>
  <c r="E70" i="6"/>
  <c r="D70" i="6"/>
  <c r="C70" i="6"/>
  <c r="G69" i="6"/>
  <c r="F69" i="6"/>
  <c r="E69" i="6"/>
  <c r="D69" i="6"/>
  <c r="C69" i="6"/>
  <c r="G68" i="6"/>
  <c r="F68" i="6"/>
  <c r="E68" i="6"/>
  <c r="E6" i="8" s="1"/>
  <c r="D68" i="6"/>
  <c r="C68" i="6"/>
  <c r="G67" i="6"/>
  <c r="F67" i="6"/>
  <c r="E67" i="6"/>
  <c r="D67" i="6"/>
  <c r="C67" i="6"/>
  <c r="G66" i="6"/>
  <c r="F66" i="6"/>
  <c r="E66" i="6"/>
  <c r="D66" i="6"/>
  <c r="C66" i="6"/>
  <c r="G65" i="6"/>
  <c r="F65" i="6"/>
  <c r="E65" i="6"/>
  <c r="D65" i="6"/>
  <c r="C65" i="6"/>
  <c r="G64" i="6"/>
  <c r="G8" i="8" s="1"/>
  <c r="F64" i="6"/>
  <c r="F8" i="8" s="1"/>
  <c r="E64" i="6"/>
  <c r="D64" i="6"/>
  <c r="D8" i="8" s="1"/>
  <c r="C64" i="6"/>
  <c r="C8" i="8" s="1"/>
  <c r="G63" i="6"/>
  <c r="F63" i="6"/>
  <c r="E63" i="6"/>
  <c r="D63" i="6"/>
  <c r="C63" i="6"/>
  <c r="G62" i="6"/>
  <c r="F62" i="6"/>
  <c r="E62" i="6"/>
  <c r="D62" i="6"/>
  <c r="C62" i="6"/>
  <c r="G61" i="6"/>
  <c r="F61" i="6"/>
  <c r="E61" i="6"/>
  <c r="D61" i="6"/>
  <c r="C61" i="6"/>
  <c r="G60" i="6"/>
  <c r="F60" i="6"/>
  <c r="E60" i="6"/>
  <c r="D60" i="6"/>
  <c r="C60" i="6"/>
  <c r="G59" i="6"/>
  <c r="F59" i="6"/>
  <c r="E59" i="6"/>
  <c r="D59" i="6"/>
  <c r="C59" i="6"/>
  <c r="G58" i="6"/>
  <c r="F58" i="6"/>
  <c r="E58" i="6"/>
  <c r="D58" i="6"/>
  <c r="C58" i="6"/>
  <c r="G57" i="6"/>
  <c r="F57" i="6"/>
  <c r="E57" i="6"/>
  <c r="D57" i="6"/>
  <c r="C57" i="6"/>
  <c r="G56" i="6"/>
  <c r="F56" i="6"/>
  <c r="E56" i="6"/>
  <c r="D56" i="6"/>
  <c r="C56" i="6"/>
  <c r="G55" i="6"/>
  <c r="F55" i="6"/>
  <c r="E55" i="6"/>
  <c r="D55" i="6"/>
  <c r="C55" i="6"/>
  <c r="G54" i="6"/>
  <c r="F54" i="6"/>
  <c r="E54" i="6"/>
  <c r="D54" i="6"/>
  <c r="C54" i="6"/>
  <c r="G53" i="6"/>
  <c r="F53" i="6"/>
  <c r="E53" i="6"/>
  <c r="D53" i="6"/>
  <c r="C53" i="6"/>
  <c r="G52" i="6"/>
  <c r="F52" i="6"/>
  <c r="E52" i="6"/>
  <c r="D52" i="6"/>
  <c r="C52" i="6"/>
  <c r="G51" i="6"/>
  <c r="F51" i="6"/>
  <c r="E51" i="6"/>
  <c r="D51" i="6"/>
  <c r="C51" i="6"/>
  <c r="G50" i="6"/>
  <c r="F50" i="6"/>
  <c r="E50" i="6"/>
  <c r="D50" i="6"/>
  <c r="C50" i="6"/>
  <c r="G49" i="6"/>
  <c r="F49" i="6"/>
  <c r="E49" i="6"/>
  <c r="D49" i="6"/>
  <c r="C49" i="6"/>
  <c r="G48" i="6"/>
  <c r="F48" i="6"/>
  <c r="E48" i="6"/>
  <c r="D48" i="6"/>
  <c r="C48" i="6"/>
  <c r="G47" i="6"/>
  <c r="F47" i="6"/>
  <c r="E47" i="6"/>
  <c r="D47" i="6"/>
  <c r="C47" i="6"/>
  <c r="G46" i="6"/>
  <c r="F46" i="6"/>
  <c r="E46" i="6"/>
  <c r="D46" i="6"/>
  <c r="C46" i="6"/>
  <c r="G45" i="6"/>
  <c r="F45" i="6"/>
  <c r="E45" i="6"/>
  <c r="D45" i="6"/>
  <c r="C45" i="6"/>
  <c r="G44" i="6"/>
  <c r="F44" i="6"/>
  <c r="E44" i="6"/>
  <c r="D44" i="6"/>
  <c r="C44" i="6"/>
  <c r="G43" i="6"/>
  <c r="F43" i="6"/>
  <c r="E43" i="6"/>
  <c r="D43" i="6"/>
  <c r="C43" i="6"/>
  <c r="G42" i="6"/>
  <c r="F42" i="6"/>
  <c r="E42" i="6"/>
  <c r="D42" i="6"/>
  <c r="C42" i="6"/>
  <c r="G41" i="6"/>
  <c r="F41" i="6"/>
  <c r="E41" i="6"/>
  <c r="D41" i="6"/>
  <c r="C41" i="6"/>
  <c r="G40" i="6"/>
  <c r="F40" i="6"/>
  <c r="E40" i="6"/>
  <c r="D40" i="6"/>
  <c r="C40" i="6"/>
  <c r="G39" i="6"/>
  <c r="F39" i="6"/>
  <c r="E39" i="6"/>
  <c r="D39" i="6"/>
  <c r="C39" i="6"/>
  <c r="G38" i="6"/>
  <c r="F38" i="6"/>
  <c r="E38" i="6"/>
  <c r="D38" i="6"/>
  <c r="C38" i="6"/>
  <c r="G37" i="6"/>
  <c r="G7" i="8" s="1"/>
  <c r="F37" i="6"/>
  <c r="F7" i="8" s="1"/>
  <c r="E37" i="6"/>
  <c r="D37" i="6"/>
  <c r="D7" i="8" s="1"/>
  <c r="C37" i="6"/>
  <c r="C7" i="8" s="1"/>
  <c r="G36" i="6"/>
  <c r="F36" i="6"/>
  <c r="E36" i="6"/>
  <c r="D36" i="6"/>
  <c r="C36" i="6"/>
  <c r="G35" i="6"/>
  <c r="F35" i="6"/>
  <c r="E35" i="6"/>
  <c r="D35" i="6"/>
  <c r="C35" i="6"/>
  <c r="G34" i="6"/>
  <c r="F34" i="6"/>
  <c r="E34" i="6"/>
  <c r="D34" i="6"/>
  <c r="C34" i="6"/>
  <c r="G33" i="6"/>
  <c r="F33" i="6"/>
  <c r="E33" i="6"/>
  <c r="H33" i="6" s="1"/>
  <c r="D33" i="6"/>
  <c r="C33" i="6"/>
  <c r="G32" i="6"/>
  <c r="F32" i="6"/>
  <c r="E32" i="6"/>
  <c r="D32" i="6"/>
  <c r="C32" i="6"/>
  <c r="G31" i="6"/>
  <c r="F31" i="6"/>
  <c r="E31" i="6"/>
  <c r="H31" i="6" s="1"/>
  <c r="D31" i="6"/>
  <c r="C31" i="6"/>
  <c r="G30" i="6"/>
  <c r="F30" i="6"/>
  <c r="E30" i="6"/>
  <c r="D30" i="6"/>
  <c r="C30" i="6"/>
  <c r="G29" i="6"/>
  <c r="F29" i="6"/>
  <c r="E29" i="6"/>
  <c r="D29" i="6"/>
  <c r="C29" i="6"/>
  <c r="G28" i="6"/>
  <c r="F28" i="6"/>
  <c r="E28" i="6"/>
  <c r="D28" i="6"/>
  <c r="C28" i="6"/>
  <c r="G27" i="6"/>
  <c r="F27" i="6"/>
  <c r="E27" i="6"/>
  <c r="D27" i="6"/>
  <c r="C27" i="6"/>
  <c r="G26" i="6"/>
  <c r="F26" i="6"/>
  <c r="E26" i="6"/>
  <c r="D26" i="6"/>
  <c r="C26" i="6"/>
  <c r="G25" i="6"/>
  <c r="F25" i="6"/>
  <c r="E25" i="6"/>
  <c r="H25" i="6" s="1"/>
  <c r="D25" i="6"/>
  <c r="C25" i="6"/>
  <c r="G24" i="6"/>
  <c r="F24" i="6"/>
  <c r="E24" i="6"/>
  <c r="D24" i="6"/>
  <c r="C24" i="6"/>
  <c r="G23" i="6"/>
  <c r="F23" i="6"/>
  <c r="E23" i="6"/>
  <c r="D23" i="6"/>
  <c r="C23" i="6"/>
  <c r="G22" i="6"/>
  <c r="F22" i="6"/>
  <c r="E22" i="6"/>
  <c r="D22" i="6"/>
  <c r="C22" i="6"/>
  <c r="G21" i="6"/>
  <c r="F21" i="6"/>
  <c r="E21" i="6"/>
  <c r="H21" i="6" s="1"/>
  <c r="D21" i="6"/>
  <c r="C21" i="6"/>
  <c r="G20" i="6"/>
  <c r="F20" i="6"/>
  <c r="E20" i="6"/>
  <c r="D20" i="6"/>
  <c r="C20" i="6"/>
  <c r="G19" i="6"/>
  <c r="F19" i="6"/>
  <c r="E19" i="6"/>
  <c r="H19" i="6" s="1"/>
  <c r="D19" i="6"/>
  <c r="C19" i="6"/>
  <c r="G18" i="6"/>
  <c r="F18" i="6"/>
  <c r="E18" i="6"/>
  <c r="D18" i="6"/>
  <c r="C18" i="6"/>
  <c r="G17" i="6"/>
  <c r="F17" i="6"/>
  <c r="E17" i="6"/>
  <c r="D17" i="6"/>
  <c r="C17" i="6"/>
  <c r="G16" i="6"/>
  <c r="F16" i="6"/>
  <c r="E16" i="6"/>
  <c r="D16" i="6"/>
  <c r="C16" i="6"/>
  <c r="G15" i="6"/>
  <c r="F15" i="6"/>
  <c r="E15" i="6"/>
  <c r="D15" i="6"/>
  <c r="C15" i="6"/>
  <c r="G14" i="6"/>
  <c r="F14" i="6"/>
  <c r="E14" i="6"/>
  <c r="D14" i="6"/>
  <c r="C14" i="6"/>
  <c r="G13" i="6"/>
  <c r="F13" i="6"/>
  <c r="E13" i="6"/>
  <c r="H13" i="6" s="1"/>
  <c r="D13" i="6"/>
  <c r="C13" i="6"/>
  <c r="G12" i="6"/>
  <c r="F12" i="6"/>
  <c r="E12" i="6"/>
  <c r="D12" i="6"/>
  <c r="C12" i="6"/>
  <c r="G11" i="6"/>
  <c r="F11" i="6"/>
  <c r="E11" i="6"/>
  <c r="D11" i="6"/>
  <c r="C11" i="6"/>
  <c r="G10" i="6"/>
  <c r="F10" i="6"/>
  <c r="E10" i="6"/>
  <c r="D10" i="6"/>
  <c r="C10" i="6"/>
  <c r="G9" i="6"/>
  <c r="F9" i="6"/>
  <c r="E9" i="6"/>
  <c r="H9" i="6" s="1"/>
  <c r="D9" i="6"/>
  <c r="C9" i="6"/>
  <c r="G8" i="6"/>
  <c r="F8" i="6"/>
  <c r="E8" i="6"/>
  <c r="D8" i="6"/>
  <c r="C8" i="6"/>
  <c r="G7" i="6"/>
  <c r="F7" i="6"/>
  <c r="E7" i="6"/>
  <c r="D7" i="6"/>
  <c r="C7" i="6"/>
  <c r="G6" i="6"/>
  <c r="F6" i="6"/>
  <c r="E6" i="6"/>
  <c r="D6" i="6"/>
  <c r="C6" i="6"/>
  <c r="G5" i="6"/>
  <c r="F5" i="6"/>
  <c r="E5" i="6"/>
  <c r="D5" i="6"/>
  <c r="C5" i="6"/>
  <c r="G4" i="6"/>
  <c r="F4" i="6"/>
  <c r="E4" i="6"/>
  <c r="D4" i="6"/>
  <c r="C4" i="6"/>
  <c r="O1050" i="1"/>
  <c r="N1050" i="1"/>
  <c r="M1050" i="1"/>
  <c r="L1050" i="1"/>
  <c r="K1050" i="1"/>
  <c r="J1050" i="1"/>
  <c r="I1050" i="1"/>
  <c r="H1050" i="1"/>
  <c r="N1049" i="1"/>
  <c r="M1049" i="1"/>
  <c r="L1049" i="1"/>
  <c r="K1049" i="1"/>
  <c r="J1049" i="1"/>
  <c r="I1049" i="1"/>
  <c r="H1049" i="1"/>
  <c r="N1048" i="1"/>
  <c r="M1048" i="1"/>
  <c r="L1048" i="1"/>
  <c r="K1048" i="1"/>
  <c r="O1048" i="1"/>
  <c r="I1048" i="1"/>
  <c r="H1048" i="1"/>
  <c r="N1047" i="1"/>
  <c r="M1047" i="1"/>
  <c r="L1047" i="1"/>
  <c r="K1047" i="1"/>
  <c r="I1047" i="1"/>
  <c r="H1047" i="1"/>
  <c r="N1045" i="1"/>
  <c r="M1045" i="1"/>
  <c r="L1045" i="1"/>
  <c r="K1045" i="1"/>
  <c r="J1045" i="1"/>
  <c r="I1045" i="1"/>
  <c r="H1045" i="1"/>
  <c r="N1044" i="1"/>
  <c r="M1044" i="1"/>
  <c r="L1044" i="1"/>
  <c r="K1044" i="1"/>
  <c r="J1044" i="1"/>
  <c r="O1044" i="1" s="1"/>
  <c r="I1044" i="1"/>
  <c r="H1044" i="1"/>
  <c r="N1043" i="1"/>
  <c r="M1043" i="1"/>
  <c r="L1043" i="1"/>
  <c r="K1043" i="1"/>
  <c r="J1043" i="1"/>
  <c r="O1043" i="1" s="1"/>
  <c r="I1043" i="1"/>
  <c r="H1043" i="1"/>
  <c r="N1042" i="1"/>
  <c r="M1042" i="1"/>
  <c r="L1042" i="1"/>
  <c r="K1042" i="1"/>
  <c r="J1042" i="1"/>
  <c r="I1042" i="1"/>
  <c r="H1042" i="1"/>
  <c r="N1041" i="1"/>
  <c r="M1041" i="1"/>
  <c r="L1041" i="1"/>
  <c r="K1041" i="1"/>
  <c r="J1041" i="1"/>
  <c r="I1041" i="1"/>
  <c r="H1041" i="1"/>
  <c r="N1040" i="1"/>
  <c r="M1040" i="1"/>
  <c r="L1040" i="1"/>
  <c r="K1040" i="1"/>
  <c r="J1040" i="1"/>
  <c r="I1040" i="1"/>
  <c r="H1040" i="1"/>
  <c r="N1039" i="1"/>
  <c r="M1039" i="1"/>
  <c r="L1039" i="1"/>
  <c r="K1039" i="1"/>
  <c r="J1039" i="1"/>
  <c r="I1039" i="1"/>
  <c r="H1039" i="1"/>
  <c r="N1038" i="1"/>
  <c r="M1038" i="1"/>
  <c r="L1038" i="1"/>
  <c r="K1038" i="1"/>
  <c r="J1038" i="1"/>
  <c r="O1038" i="1" s="1"/>
  <c r="I1038" i="1"/>
  <c r="H1038" i="1"/>
  <c r="N1037" i="1"/>
  <c r="M1037" i="1"/>
  <c r="L1037" i="1"/>
  <c r="K1037" i="1"/>
  <c r="J1037" i="1"/>
  <c r="I1037" i="1"/>
  <c r="H1037" i="1"/>
  <c r="N1036" i="1"/>
  <c r="M1036" i="1"/>
  <c r="L1036" i="1"/>
  <c r="K1036" i="1"/>
  <c r="J1036" i="1"/>
  <c r="I1036" i="1"/>
  <c r="H1036" i="1"/>
  <c r="N1035" i="1"/>
  <c r="M1035" i="1"/>
  <c r="L1035" i="1"/>
  <c r="K1035" i="1"/>
  <c r="J1035" i="1"/>
  <c r="I1035" i="1"/>
  <c r="H1035" i="1"/>
  <c r="N1034" i="1"/>
  <c r="M1034" i="1"/>
  <c r="L1034" i="1"/>
  <c r="K1034" i="1"/>
  <c r="H1034" i="1"/>
  <c r="N1032" i="1"/>
  <c r="M1032" i="1"/>
  <c r="L1032" i="1"/>
  <c r="K1032" i="1"/>
  <c r="J1032" i="1"/>
  <c r="I1032" i="1"/>
  <c r="H1032" i="1"/>
  <c r="N1031" i="1"/>
  <c r="M1031" i="1"/>
  <c r="L1031" i="1"/>
  <c r="K1031" i="1"/>
  <c r="J1031" i="1"/>
  <c r="I1031" i="1"/>
  <c r="H1031" i="1"/>
  <c r="N1030" i="1"/>
  <c r="M1030" i="1"/>
  <c r="L1030" i="1"/>
  <c r="K1030" i="1"/>
  <c r="J1030" i="1"/>
  <c r="I1030" i="1"/>
  <c r="H1030" i="1"/>
  <c r="N1029" i="1"/>
  <c r="M1029" i="1"/>
  <c r="L1029" i="1"/>
  <c r="K1029" i="1"/>
  <c r="J1029" i="1"/>
  <c r="O1029" i="1" s="1"/>
  <c r="I1029" i="1"/>
  <c r="H1029" i="1"/>
  <c r="N1028" i="1"/>
  <c r="M1028" i="1"/>
  <c r="L1028" i="1"/>
  <c r="K1028" i="1"/>
  <c r="J1028" i="1"/>
  <c r="I1028" i="1"/>
  <c r="H1028" i="1"/>
  <c r="N1027" i="1"/>
  <c r="M1027" i="1"/>
  <c r="L1027" i="1"/>
  <c r="K1027" i="1"/>
  <c r="J1027" i="1"/>
  <c r="I1027" i="1"/>
  <c r="H1027" i="1"/>
  <c r="N1026" i="1"/>
  <c r="M1026" i="1"/>
  <c r="L1026" i="1"/>
  <c r="K1026" i="1"/>
  <c r="J1026" i="1"/>
  <c r="I1026" i="1"/>
  <c r="H1026" i="1"/>
  <c r="N1025" i="1"/>
  <c r="M1025" i="1"/>
  <c r="L1025" i="1"/>
  <c r="K1025" i="1"/>
  <c r="J1025" i="1"/>
  <c r="I1025" i="1"/>
  <c r="H1025" i="1"/>
  <c r="N1024" i="1"/>
  <c r="M1024" i="1"/>
  <c r="L1024" i="1"/>
  <c r="K1024" i="1"/>
  <c r="J1024" i="1"/>
  <c r="I1024" i="1"/>
  <c r="H1024" i="1"/>
  <c r="N1023" i="1"/>
  <c r="M1023" i="1"/>
  <c r="L1023" i="1"/>
  <c r="K1023" i="1"/>
  <c r="J1023" i="1"/>
  <c r="I1023" i="1"/>
  <c r="H1023" i="1"/>
  <c r="N1022" i="1"/>
  <c r="M1022" i="1"/>
  <c r="L1022" i="1"/>
  <c r="K1022" i="1"/>
  <c r="J1022" i="1"/>
  <c r="I1022" i="1"/>
  <c r="H1022" i="1"/>
  <c r="N1021" i="1"/>
  <c r="M1021" i="1"/>
  <c r="L1021" i="1"/>
  <c r="K1021" i="1"/>
  <c r="J1021" i="1"/>
  <c r="I1021" i="1"/>
  <c r="H1021" i="1"/>
  <c r="N1020" i="1"/>
  <c r="M1020" i="1"/>
  <c r="L1020" i="1"/>
  <c r="K1020" i="1"/>
  <c r="J1020" i="1"/>
  <c r="O1020" i="1" s="1"/>
  <c r="I1020" i="1"/>
  <c r="H1020" i="1"/>
  <c r="N1019" i="1"/>
  <c r="M1019" i="1"/>
  <c r="L1019" i="1"/>
  <c r="K1019" i="1"/>
  <c r="J1019" i="1"/>
  <c r="I1019" i="1"/>
  <c r="H1019" i="1"/>
  <c r="N1018" i="1"/>
  <c r="M1018" i="1"/>
  <c r="L1018" i="1"/>
  <c r="K1018" i="1"/>
  <c r="J1018" i="1"/>
  <c r="I1018" i="1"/>
  <c r="H1018" i="1"/>
  <c r="N1017" i="1"/>
  <c r="M1017" i="1"/>
  <c r="L1017" i="1"/>
  <c r="K1017" i="1"/>
  <c r="J1017" i="1"/>
  <c r="O1017" i="1" s="1"/>
  <c r="I1017" i="1"/>
  <c r="H1017" i="1"/>
  <c r="N1016" i="1"/>
  <c r="M1016" i="1"/>
  <c r="L1016" i="1"/>
  <c r="K1016" i="1"/>
  <c r="J1016" i="1"/>
  <c r="I1016" i="1"/>
  <c r="H1016" i="1"/>
  <c r="N1015" i="1"/>
  <c r="M1015" i="1"/>
  <c r="L1015" i="1"/>
  <c r="K1015" i="1"/>
  <c r="J1015" i="1"/>
  <c r="I1015" i="1"/>
  <c r="H1015" i="1"/>
  <c r="N1014" i="1"/>
  <c r="M1014" i="1"/>
  <c r="L1014" i="1"/>
  <c r="K1014" i="1"/>
  <c r="J1014" i="1"/>
  <c r="O1014" i="1" s="1"/>
  <c r="I1014" i="1"/>
  <c r="H1014" i="1"/>
  <c r="N1013" i="1"/>
  <c r="M1013" i="1"/>
  <c r="L1013" i="1"/>
  <c r="K1013" i="1"/>
  <c r="J1013" i="1"/>
  <c r="I1013" i="1"/>
  <c r="H1013" i="1"/>
  <c r="N1012" i="1"/>
  <c r="M1012" i="1"/>
  <c r="L1012" i="1"/>
  <c r="K1012" i="1"/>
  <c r="J1012" i="1"/>
  <c r="I1012" i="1"/>
  <c r="H1012" i="1"/>
  <c r="N1011" i="1"/>
  <c r="M1011" i="1"/>
  <c r="L1011" i="1"/>
  <c r="K1011" i="1"/>
  <c r="J1011" i="1"/>
  <c r="I1011" i="1"/>
  <c r="H1011" i="1"/>
  <c r="N1010" i="1"/>
  <c r="M1010" i="1"/>
  <c r="L1010" i="1"/>
  <c r="K1010" i="1"/>
  <c r="J1010" i="1"/>
  <c r="O1010" i="1" s="1"/>
  <c r="I1010" i="1"/>
  <c r="H1010" i="1"/>
  <c r="N1009" i="1"/>
  <c r="M1009" i="1"/>
  <c r="L1009" i="1"/>
  <c r="K1009" i="1"/>
  <c r="J1009" i="1"/>
  <c r="I1009" i="1"/>
  <c r="H1009" i="1"/>
  <c r="N1008" i="1"/>
  <c r="M1008" i="1"/>
  <c r="L1008" i="1"/>
  <c r="K1008" i="1"/>
  <c r="J1008" i="1"/>
  <c r="I1008" i="1"/>
  <c r="H1008" i="1"/>
  <c r="N1007" i="1"/>
  <c r="M1007" i="1"/>
  <c r="L1007" i="1"/>
  <c r="K1007" i="1"/>
  <c r="J1007" i="1"/>
  <c r="I1007" i="1"/>
  <c r="H1007" i="1"/>
  <c r="N1006" i="1"/>
  <c r="M1006" i="1"/>
  <c r="L1006" i="1"/>
  <c r="K1006" i="1"/>
  <c r="J1006" i="1"/>
  <c r="I1006" i="1"/>
  <c r="H1006" i="1"/>
  <c r="N1005" i="1"/>
  <c r="M1005" i="1"/>
  <c r="L1005" i="1"/>
  <c r="K1005" i="1"/>
  <c r="J1005" i="1"/>
  <c r="O1005" i="1" s="1"/>
  <c r="I1005" i="1"/>
  <c r="H1005" i="1"/>
  <c r="N1004" i="1"/>
  <c r="M1004" i="1"/>
  <c r="L1004" i="1"/>
  <c r="K1004" i="1"/>
  <c r="J1004" i="1"/>
  <c r="I1004" i="1"/>
  <c r="H1004" i="1"/>
  <c r="N1003" i="1"/>
  <c r="M1003" i="1"/>
  <c r="L1003" i="1"/>
  <c r="K1003" i="1"/>
  <c r="J1003" i="1"/>
  <c r="I1003" i="1"/>
  <c r="H1003" i="1"/>
  <c r="N1002" i="1"/>
  <c r="M1002" i="1"/>
  <c r="L1002" i="1"/>
  <c r="K1002" i="1"/>
  <c r="J1002" i="1"/>
  <c r="I1002" i="1"/>
  <c r="H1002" i="1"/>
  <c r="N1001" i="1"/>
  <c r="M1001" i="1"/>
  <c r="L1001" i="1"/>
  <c r="K1001" i="1"/>
  <c r="J1001" i="1"/>
  <c r="I1001" i="1"/>
  <c r="H1001" i="1"/>
  <c r="N1000" i="1"/>
  <c r="M1000" i="1"/>
  <c r="L1000" i="1"/>
  <c r="K1000" i="1"/>
  <c r="J1000" i="1"/>
  <c r="I1000" i="1"/>
  <c r="H1000" i="1"/>
  <c r="N999" i="1"/>
  <c r="M999" i="1"/>
  <c r="L999" i="1"/>
  <c r="K999" i="1"/>
  <c r="J999" i="1"/>
  <c r="I999" i="1"/>
  <c r="H999" i="1"/>
  <c r="N998" i="1"/>
  <c r="M998" i="1"/>
  <c r="L998" i="1"/>
  <c r="K998" i="1"/>
  <c r="J998" i="1"/>
  <c r="O998" i="1" s="1"/>
  <c r="I998" i="1"/>
  <c r="H998" i="1"/>
  <c r="N997" i="1"/>
  <c r="M997" i="1"/>
  <c r="L997" i="1"/>
  <c r="K997" i="1"/>
  <c r="J997" i="1"/>
  <c r="I997" i="1"/>
  <c r="H997" i="1"/>
  <c r="N996" i="1"/>
  <c r="M996" i="1"/>
  <c r="L996" i="1"/>
  <c r="K996" i="1"/>
  <c r="J996" i="1"/>
  <c r="I996" i="1"/>
  <c r="H996" i="1"/>
  <c r="N995" i="1"/>
  <c r="M995" i="1"/>
  <c r="L995" i="1"/>
  <c r="K995" i="1"/>
  <c r="J995" i="1"/>
  <c r="I995" i="1"/>
  <c r="H995" i="1"/>
  <c r="N994" i="1"/>
  <c r="M994" i="1"/>
  <c r="L994" i="1"/>
  <c r="K994" i="1"/>
  <c r="J994" i="1"/>
  <c r="I994" i="1"/>
  <c r="H994" i="1"/>
  <c r="N993" i="1"/>
  <c r="M993" i="1"/>
  <c r="L993" i="1"/>
  <c r="K993" i="1"/>
  <c r="J993" i="1"/>
  <c r="O993" i="1" s="1"/>
  <c r="I993" i="1"/>
  <c r="H993" i="1"/>
  <c r="N992" i="1"/>
  <c r="M992" i="1"/>
  <c r="L992" i="1"/>
  <c r="K992" i="1"/>
  <c r="J992" i="1"/>
  <c r="I992" i="1"/>
  <c r="H992" i="1"/>
  <c r="N991" i="1"/>
  <c r="M991" i="1"/>
  <c r="L991" i="1"/>
  <c r="K991" i="1"/>
  <c r="J991" i="1"/>
  <c r="I991" i="1"/>
  <c r="H991" i="1"/>
  <c r="N990" i="1"/>
  <c r="M990" i="1"/>
  <c r="L990" i="1"/>
  <c r="K990" i="1"/>
  <c r="J990" i="1"/>
  <c r="O990" i="1" s="1"/>
  <c r="I990" i="1"/>
  <c r="H990" i="1"/>
  <c r="N989" i="1"/>
  <c r="M989" i="1"/>
  <c r="L989" i="1"/>
  <c r="K989" i="1"/>
  <c r="J989" i="1"/>
  <c r="I989" i="1"/>
  <c r="H989" i="1"/>
  <c r="N988" i="1"/>
  <c r="M988" i="1"/>
  <c r="L988" i="1"/>
  <c r="K988" i="1"/>
  <c r="J988" i="1"/>
  <c r="I988" i="1"/>
  <c r="H988" i="1"/>
  <c r="N987" i="1"/>
  <c r="M987" i="1"/>
  <c r="L987" i="1"/>
  <c r="K987" i="1"/>
  <c r="J987" i="1"/>
  <c r="I987" i="1"/>
  <c r="H987" i="1"/>
  <c r="N986" i="1"/>
  <c r="M986" i="1"/>
  <c r="L986" i="1"/>
  <c r="K986" i="1"/>
  <c r="J986" i="1"/>
  <c r="O986" i="1" s="1"/>
  <c r="I986" i="1"/>
  <c r="H986" i="1"/>
  <c r="N985" i="1"/>
  <c r="M985" i="1"/>
  <c r="L985" i="1"/>
  <c r="K985" i="1"/>
  <c r="J985" i="1"/>
  <c r="I985" i="1"/>
  <c r="H985" i="1"/>
  <c r="N984" i="1"/>
  <c r="M984" i="1"/>
  <c r="L984" i="1"/>
  <c r="K984" i="1"/>
  <c r="J984" i="1"/>
  <c r="I984" i="1"/>
  <c r="H984" i="1"/>
  <c r="N983" i="1"/>
  <c r="M983" i="1"/>
  <c r="L983" i="1"/>
  <c r="K983" i="1"/>
  <c r="J983" i="1"/>
  <c r="I983" i="1"/>
  <c r="H983" i="1"/>
  <c r="N981" i="1"/>
  <c r="M981" i="1"/>
  <c r="L981" i="1"/>
  <c r="K981" i="1"/>
  <c r="J981" i="1"/>
  <c r="O981" i="1" s="1"/>
  <c r="I981" i="1"/>
  <c r="H981" i="1"/>
  <c r="N980" i="1"/>
  <c r="M980" i="1"/>
  <c r="L980" i="1"/>
  <c r="K980" i="1"/>
  <c r="J980" i="1"/>
  <c r="O980" i="1" s="1"/>
  <c r="I980" i="1"/>
  <c r="H980" i="1"/>
  <c r="N979" i="1"/>
  <c r="M979" i="1"/>
  <c r="L979" i="1"/>
  <c r="K979" i="1"/>
  <c r="J979" i="1"/>
  <c r="I979" i="1"/>
  <c r="H979" i="1"/>
  <c r="N978" i="1"/>
  <c r="M978" i="1"/>
  <c r="L978" i="1"/>
  <c r="K978" i="1"/>
  <c r="J978" i="1"/>
  <c r="I978" i="1"/>
  <c r="H978" i="1"/>
  <c r="N977" i="1"/>
  <c r="M977" i="1"/>
  <c r="L977" i="1"/>
  <c r="K977" i="1"/>
  <c r="J977" i="1"/>
  <c r="I977" i="1"/>
  <c r="H977" i="1"/>
  <c r="N976" i="1"/>
  <c r="M976" i="1"/>
  <c r="L976" i="1"/>
  <c r="K976" i="1"/>
  <c r="J976" i="1"/>
  <c r="I976" i="1"/>
  <c r="H976" i="1"/>
  <c r="N975" i="1"/>
  <c r="M975" i="1"/>
  <c r="L975" i="1"/>
  <c r="K975" i="1"/>
  <c r="J975" i="1"/>
  <c r="I975" i="1"/>
  <c r="H975" i="1"/>
  <c r="N974" i="1"/>
  <c r="M974" i="1"/>
  <c r="L974" i="1"/>
  <c r="K974" i="1"/>
  <c r="J974" i="1"/>
  <c r="I974" i="1"/>
  <c r="H974" i="1"/>
  <c r="N973" i="1"/>
  <c r="M973" i="1"/>
  <c r="L973" i="1"/>
  <c r="K973" i="1"/>
  <c r="J973" i="1"/>
  <c r="I973" i="1"/>
  <c r="H973" i="1"/>
  <c r="N972" i="1"/>
  <c r="M972" i="1"/>
  <c r="L972" i="1"/>
  <c r="K972" i="1"/>
  <c r="J972" i="1"/>
  <c r="I972" i="1"/>
  <c r="H972" i="1"/>
  <c r="N971" i="1"/>
  <c r="M971" i="1"/>
  <c r="L971" i="1"/>
  <c r="K971" i="1"/>
  <c r="J971" i="1"/>
  <c r="I971" i="1"/>
  <c r="H971" i="1"/>
  <c r="N970" i="1"/>
  <c r="M970" i="1"/>
  <c r="L970" i="1"/>
  <c r="K970" i="1"/>
  <c r="J970" i="1"/>
  <c r="I970" i="1"/>
  <c r="H970" i="1"/>
  <c r="N969" i="1"/>
  <c r="M969" i="1"/>
  <c r="L969" i="1"/>
  <c r="K969" i="1"/>
  <c r="J969" i="1"/>
  <c r="O969" i="1" s="1"/>
  <c r="I969" i="1"/>
  <c r="H969" i="1"/>
  <c r="N968" i="1"/>
  <c r="M968" i="1"/>
  <c r="L968" i="1"/>
  <c r="K968" i="1"/>
  <c r="J968" i="1"/>
  <c r="I968" i="1"/>
  <c r="H968" i="1"/>
  <c r="N967" i="1"/>
  <c r="M967" i="1"/>
  <c r="L967" i="1"/>
  <c r="K967" i="1"/>
  <c r="J967" i="1"/>
  <c r="I967" i="1"/>
  <c r="H967" i="1"/>
  <c r="N966" i="1"/>
  <c r="M966" i="1"/>
  <c r="L966" i="1"/>
  <c r="K966" i="1"/>
  <c r="J966" i="1"/>
  <c r="O966" i="1" s="1"/>
  <c r="I966" i="1"/>
  <c r="H966" i="1"/>
  <c r="N965" i="1"/>
  <c r="M965" i="1"/>
  <c r="L965" i="1"/>
  <c r="K965" i="1"/>
  <c r="J965" i="1"/>
  <c r="I965" i="1"/>
  <c r="H965" i="1"/>
  <c r="N964" i="1"/>
  <c r="M964" i="1"/>
  <c r="L964" i="1"/>
  <c r="K964" i="1"/>
  <c r="J964" i="1"/>
  <c r="I964" i="1"/>
  <c r="H964" i="1"/>
  <c r="N963" i="1"/>
  <c r="M963" i="1"/>
  <c r="L963" i="1"/>
  <c r="K963" i="1"/>
  <c r="J963" i="1"/>
  <c r="I963" i="1"/>
  <c r="H963" i="1"/>
  <c r="N962" i="1"/>
  <c r="M962" i="1"/>
  <c r="L962" i="1"/>
  <c r="K962" i="1"/>
  <c r="J962" i="1"/>
  <c r="I962" i="1"/>
  <c r="H962" i="1"/>
  <c r="N961" i="1"/>
  <c r="M961" i="1"/>
  <c r="L961" i="1"/>
  <c r="K961" i="1"/>
  <c r="J961" i="1"/>
  <c r="I961" i="1"/>
  <c r="H961" i="1"/>
  <c r="N960" i="1"/>
  <c r="M960" i="1"/>
  <c r="L960" i="1"/>
  <c r="K960" i="1"/>
  <c r="J960" i="1"/>
  <c r="I960" i="1"/>
  <c r="H960" i="1"/>
  <c r="N959" i="1"/>
  <c r="M959" i="1"/>
  <c r="L959" i="1"/>
  <c r="K959" i="1"/>
  <c r="J959" i="1"/>
  <c r="I959" i="1"/>
  <c r="H959" i="1"/>
  <c r="N958" i="1"/>
  <c r="M958" i="1"/>
  <c r="L958" i="1"/>
  <c r="K958" i="1"/>
  <c r="J958" i="1"/>
  <c r="I958" i="1"/>
  <c r="H958" i="1"/>
  <c r="N957" i="1"/>
  <c r="M957" i="1"/>
  <c r="L957" i="1"/>
  <c r="K957" i="1"/>
  <c r="J957" i="1"/>
  <c r="O957" i="1" s="1"/>
  <c r="I957" i="1"/>
  <c r="H957" i="1"/>
  <c r="N955" i="1"/>
  <c r="M955" i="1"/>
  <c r="L955" i="1"/>
  <c r="K955" i="1"/>
  <c r="J955" i="1"/>
  <c r="I955" i="1"/>
  <c r="H955" i="1"/>
  <c r="N954" i="1"/>
  <c r="M954" i="1"/>
  <c r="L954" i="1"/>
  <c r="K954" i="1"/>
  <c r="J954" i="1"/>
  <c r="O954" i="1" s="1"/>
  <c r="I954" i="1"/>
  <c r="H954" i="1"/>
  <c r="N953" i="1"/>
  <c r="M953" i="1"/>
  <c r="L953" i="1"/>
  <c r="K953" i="1"/>
  <c r="J953" i="1"/>
  <c r="I953" i="1"/>
  <c r="H953" i="1"/>
  <c r="N952" i="1"/>
  <c r="M952" i="1"/>
  <c r="L952" i="1"/>
  <c r="K952" i="1"/>
  <c r="J952" i="1"/>
  <c r="I952" i="1"/>
  <c r="H952" i="1"/>
  <c r="N951" i="1"/>
  <c r="M951" i="1"/>
  <c r="L951" i="1"/>
  <c r="K951" i="1"/>
  <c r="J951" i="1"/>
  <c r="I951" i="1"/>
  <c r="H951" i="1"/>
  <c r="N950" i="1"/>
  <c r="M950" i="1"/>
  <c r="L950" i="1"/>
  <c r="K950" i="1"/>
  <c r="J950" i="1"/>
  <c r="I950" i="1"/>
  <c r="H950" i="1"/>
  <c r="N949" i="1"/>
  <c r="M949" i="1"/>
  <c r="L949" i="1"/>
  <c r="K949" i="1"/>
  <c r="J949" i="1"/>
  <c r="I949" i="1"/>
  <c r="H949" i="1"/>
  <c r="N948" i="1"/>
  <c r="M948" i="1"/>
  <c r="L948" i="1"/>
  <c r="K948" i="1"/>
  <c r="J948" i="1"/>
  <c r="I948" i="1"/>
  <c r="H948" i="1"/>
  <c r="N947" i="1"/>
  <c r="M947" i="1"/>
  <c r="L947" i="1"/>
  <c r="K947" i="1"/>
  <c r="J947" i="1"/>
  <c r="I947" i="1"/>
  <c r="H947" i="1"/>
  <c r="N946" i="1"/>
  <c r="M946" i="1"/>
  <c r="L946" i="1"/>
  <c r="K946" i="1"/>
  <c r="J946" i="1"/>
  <c r="I946" i="1"/>
  <c r="H946" i="1"/>
  <c r="N945" i="1"/>
  <c r="M945" i="1"/>
  <c r="L945" i="1"/>
  <c r="K945" i="1"/>
  <c r="J945" i="1"/>
  <c r="I945" i="1"/>
  <c r="H945" i="1"/>
  <c r="N944" i="1"/>
  <c r="M944" i="1"/>
  <c r="L944" i="1"/>
  <c r="K944" i="1"/>
  <c r="J944" i="1"/>
  <c r="I944" i="1"/>
  <c r="H944" i="1"/>
  <c r="N943" i="1"/>
  <c r="M943" i="1"/>
  <c r="L943" i="1"/>
  <c r="K943" i="1"/>
  <c r="J943" i="1"/>
  <c r="I943" i="1"/>
  <c r="H943" i="1"/>
  <c r="N942" i="1"/>
  <c r="M942" i="1"/>
  <c r="L942" i="1"/>
  <c r="K942" i="1"/>
  <c r="J942" i="1"/>
  <c r="I942" i="1"/>
  <c r="H942" i="1"/>
  <c r="N941" i="1"/>
  <c r="M941" i="1"/>
  <c r="L941" i="1"/>
  <c r="K941" i="1"/>
  <c r="J941" i="1"/>
  <c r="I941" i="1"/>
  <c r="H941" i="1"/>
  <c r="N940" i="1"/>
  <c r="M940" i="1"/>
  <c r="L940" i="1"/>
  <c r="K940" i="1"/>
  <c r="J940" i="1"/>
  <c r="I940" i="1"/>
  <c r="H940" i="1"/>
  <c r="N939" i="1"/>
  <c r="M939" i="1"/>
  <c r="L939" i="1"/>
  <c r="K939" i="1"/>
  <c r="J939" i="1"/>
  <c r="I939" i="1"/>
  <c r="H939" i="1"/>
  <c r="N938" i="1"/>
  <c r="M938" i="1"/>
  <c r="L938" i="1"/>
  <c r="K938" i="1"/>
  <c r="J938" i="1"/>
  <c r="I938" i="1"/>
  <c r="H938" i="1"/>
  <c r="N937" i="1"/>
  <c r="M937" i="1"/>
  <c r="L937" i="1"/>
  <c r="K937" i="1"/>
  <c r="J937" i="1"/>
  <c r="I937" i="1"/>
  <c r="H937" i="1"/>
  <c r="N934" i="1"/>
  <c r="M934" i="1"/>
  <c r="L934" i="1"/>
  <c r="K934" i="1"/>
  <c r="J934" i="1"/>
  <c r="I934" i="1"/>
  <c r="H934" i="1"/>
  <c r="N933" i="1"/>
  <c r="M933" i="1"/>
  <c r="L933" i="1"/>
  <c r="K933" i="1"/>
  <c r="J933" i="1"/>
  <c r="I933" i="1"/>
  <c r="H933" i="1"/>
  <c r="N932" i="1"/>
  <c r="M932" i="1"/>
  <c r="L932" i="1"/>
  <c r="K932" i="1"/>
  <c r="J932" i="1"/>
  <c r="I932" i="1"/>
  <c r="H932" i="1"/>
  <c r="N931" i="1"/>
  <c r="M931" i="1"/>
  <c r="L931" i="1"/>
  <c r="K931" i="1"/>
  <c r="J931" i="1"/>
  <c r="I931" i="1"/>
  <c r="H931" i="1"/>
  <c r="N930" i="1"/>
  <c r="M930" i="1"/>
  <c r="L930" i="1"/>
  <c r="K930" i="1"/>
  <c r="J930" i="1"/>
  <c r="I930" i="1"/>
  <c r="H930" i="1"/>
  <c r="N928" i="1"/>
  <c r="M928" i="1"/>
  <c r="L928" i="1"/>
  <c r="K928" i="1"/>
  <c r="J928" i="1"/>
  <c r="O928" i="1" s="1"/>
  <c r="I928" i="1"/>
  <c r="H928" i="1"/>
  <c r="N927" i="1"/>
  <c r="M927" i="1"/>
  <c r="L927" i="1"/>
  <c r="K927" i="1"/>
  <c r="J927" i="1"/>
  <c r="O927" i="1" s="1"/>
  <c r="I927" i="1"/>
  <c r="H927" i="1"/>
  <c r="N926" i="1"/>
  <c r="M926" i="1"/>
  <c r="L926" i="1"/>
  <c r="K926" i="1"/>
  <c r="J926" i="1"/>
  <c r="I926" i="1"/>
  <c r="H926" i="1"/>
  <c r="N925" i="1"/>
  <c r="M925" i="1"/>
  <c r="L925" i="1"/>
  <c r="K925" i="1"/>
  <c r="J925" i="1"/>
  <c r="I925" i="1"/>
  <c r="H925" i="1"/>
  <c r="N924" i="1"/>
  <c r="M924" i="1"/>
  <c r="L924" i="1"/>
  <c r="K924" i="1"/>
  <c r="J924" i="1"/>
  <c r="I924" i="1"/>
  <c r="H924" i="1"/>
  <c r="N923" i="1"/>
  <c r="M923" i="1"/>
  <c r="L923" i="1"/>
  <c r="K923" i="1"/>
  <c r="J923" i="1"/>
  <c r="O923" i="1" s="1"/>
  <c r="I923" i="1"/>
  <c r="H923" i="1"/>
  <c r="N922" i="1"/>
  <c r="M922" i="1"/>
  <c r="L922" i="1"/>
  <c r="K922" i="1"/>
  <c r="J922" i="1"/>
  <c r="I922" i="1"/>
  <c r="H922" i="1"/>
  <c r="N921" i="1"/>
  <c r="M921" i="1"/>
  <c r="L921" i="1"/>
  <c r="K921" i="1"/>
  <c r="J921" i="1"/>
  <c r="I921" i="1"/>
  <c r="H921" i="1"/>
  <c r="N920" i="1"/>
  <c r="M920" i="1"/>
  <c r="L920" i="1"/>
  <c r="K920" i="1"/>
  <c r="J920" i="1"/>
  <c r="I920" i="1"/>
  <c r="H920" i="1"/>
  <c r="N919" i="1"/>
  <c r="M919" i="1"/>
  <c r="L919" i="1"/>
  <c r="K919" i="1"/>
  <c r="J919" i="1"/>
  <c r="O919" i="1" s="1"/>
  <c r="I919" i="1"/>
  <c r="H919" i="1"/>
  <c r="N918" i="1"/>
  <c r="M918" i="1"/>
  <c r="L918" i="1"/>
  <c r="K918" i="1"/>
  <c r="J918" i="1"/>
  <c r="I918" i="1"/>
  <c r="H918" i="1"/>
  <c r="N917" i="1"/>
  <c r="M917" i="1"/>
  <c r="L917" i="1"/>
  <c r="K917" i="1"/>
  <c r="J917" i="1"/>
  <c r="I917" i="1"/>
  <c r="H917" i="1"/>
  <c r="N916" i="1"/>
  <c r="M916" i="1"/>
  <c r="L916" i="1"/>
  <c r="K916" i="1"/>
  <c r="J916" i="1"/>
  <c r="I916" i="1"/>
  <c r="H916" i="1"/>
  <c r="N914" i="1"/>
  <c r="M914" i="1"/>
  <c r="L914" i="1"/>
  <c r="K914" i="1"/>
  <c r="J914" i="1"/>
  <c r="I914" i="1"/>
  <c r="H914" i="1"/>
  <c r="N913" i="1"/>
  <c r="M913" i="1"/>
  <c r="L913" i="1"/>
  <c r="K913" i="1"/>
  <c r="J913" i="1"/>
  <c r="I913" i="1"/>
  <c r="H913" i="1"/>
  <c r="N912" i="1"/>
  <c r="M912" i="1"/>
  <c r="L912" i="1"/>
  <c r="K912" i="1"/>
  <c r="J912" i="1"/>
  <c r="O912" i="1" s="1"/>
  <c r="I912" i="1"/>
  <c r="H912" i="1"/>
  <c r="N911" i="1"/>
  <c r="M911" i="1"/>
  <c r="L911" i="1"/>
  <c r="K911" i="1"/>
  <c r="J911" i="1"/>
  <c r="I911" i="1"/>
  <c r="H911" i="1"/>
  <c r="N910" i="1"/>
  <c r="M910" i="1"/>
  <c r="L910" i="1"/>
  <c r="K910" i="1"/>
  <c r="J910" i="1"/>
  <c r="I910" i="1"/>
  <c r="H910" i="1"/>
  <c r="N909" i="1"/>
  <c r="M909" i="1"/>
  <c r="L909" i="1"/>
  <c r="K909" i="1"/>
  <c r="J909" i="1"/>
  <c r="I909" i="1"/>
  <c r="H909" i="1"/>
  <c r="N908" i="1"/>
  <c r="M908" i="1"/>
  <c r="L908" i="1"/>
  <c r="K908" i="1"/>
  <c r="J908" i="1"/>
  <c r="I908" i="1"/>
  <c r="H908" i="1"/>
  <c r="N907" i="1"/>
  <c r="M907" i="1"/>
  <c r="L907" i="1"/>
  <c r="K907" i="1"/>
  <c r="J907" i="1"/>
  <c r="I907" i="1"/>
  <c r="H907" i="1"/>
  <c r="N906" i="1"/>
  <c r="M906" i="1"/>
  <c r="L906" i="1"/>
  <c r="K906" i="1"/>
  <c r="J906" i="1"/>
  <c r="I906" i="1"/>
  <c r="H906" i="1"/>
  <c r="N905" i="1"/>
  <c r="M905" i="1"/>
  <c r="L905" i="1"/>
  <c r="K905" i="1"/>
  <c r="J905" i="1"/>
  <c r="I905" i="1"/>
  <c r="H905" i="1"/>
  <c r="N904" i="1"/>
  <c r="M904" i="1"/>
  <c r="L904" i="1"/>
  <c r="K904" i="1"/>
  <c r="J904" i="1"/>
  <c r="I904" i="1"/>
  <c r="H904" i="1"/>
  <c r="N903" i="1"/>
  <c r="M903" i="1"/>
  <c r="L903" i="1"/>
  <c r="K903" i="1"/>
  <c r="J903" i="1"/>
  <c r="I903" i="1"/>
  <c r="H903" i="1"/>
  <c r="N902" i="1"/>
  <c r="M902" i="1"/>
  <c r="L902" i="1"/>
  <c r="K902" i="1"/>
  <c r="J902" i="1"/>
  <c r="I902" i="1"/>
  <c r="H902" i="1"/>
  <c r="N901" i="1"/>
  <c r="M901" i="1"/>
  <c r="L901" i="1"/>
  <c r="K901" i="1"/>
  <c r="J901" i="1"/>
  <c r="I901" i="1"/>
  <c r="H901" i="1"/>
  <c r="N900" i="1"/>
  <c r="M900" i="1"/>
  <c r="L900" i="1"/>
  <c r="K900" i="1"/>
  <c r="J900" i="1"/>
  <c r="I900" i="1"/>
  <c r="H900" i="1"/>
  <c r="N899" i="1"/>
  <c r="M899" i="1"/>
  <c r="L899" i="1"/>
  <c r="K899" i="1"/>
  <c r="J899" i="1"/>
  <c r="I899" i="1"/>
  <c r="H899" i="1"/>
  <c r="N898" i="1"/>
  <c r="M898" i="1"/>
  <c r="L898" i="1"/>
  <c r="K898" i="1"/>
  <c r="J898" i="1"/>
  <c r="I898" i="1"/>
  <c r="H898" i="1"/>
  <c r="N897" i="1"/>
  <c r="M897" i="1"/>
  <c r="L897" i="1"/>
  <c r="K897" i="1"/>
  <c r="J897" i="1"/>
  <c r="I897" i="1"/>
  <c r="H897" i="1"/>
  <c r="N896" i="1"/>
  <c r="M896" i="1"/>
  <c r="L896" i="1"/>
  <c r="K896" i="1"/>
  <c r="J896" i="1"/>
  <c r="I896" i="1"/>
  <c r="H896" i="1"/>
  <c r="N895" i="1"/>
  <c r="M895" i="1"/>
  <c r="L895" i="1"/>
  <c r="K895" i="1"/>
  <c r="J895" i="1"/>
  <c r="I895" i="1"/>
  <c r="H895" i="1"/>
  <c r="N894" i="1"/>
  <c r="M894" i="1"/>
  <c r="L894" i="1"/>
  <c r="K894" i="1"/>
  <c r="J894" i="1"/>
  <c r="I894" i="1"/>
  <c r="H894" i="1"/>
  <c r="N893" i="1"/>
  <c r="M893" i="1"/>
  <c r="L893" i="1"/>
  <c r="K893" i="1"/>
  <c r="J893" i="1"/>
  <c r="I893" i="1"/>
  <c r="H893" i="1"/>
  <c r="N892" i="1"/>
  <c r="M892" i="1"/>
  <c r="L892" i="1"/>
  <c r="K892" i="1"/>
  <c r="J892" i="1"/>
  <c r="I892" i="1"/>
  <c r="H892" i="1"/>
  <c r="N891" i="1"/>
  <c r="M891" i="1"/>
  <c r="L891" i="1"/>
  <c r="K891" i="1"/>
  <c r="J891" i="1"/>
  <c r="I891" i="1"/>
  <c r="H891" i="1"/>
  <c r="N890" i="1"/>
  <c r="M890" i="1"/>
  <c r="L890" i="1"/>
  <c r="K890" i="1"/>
  <c r="J890" i="1"/>
  <c r="I890" i="1"/>
  <c r="H890" i="1"/>
  <c r="N889" i="1"/>
  <c r="M889" i="1"/>
  <c r="L889" i="1"/>
  <c r="K889" i="1"/>
  <c r="J889" i="1"/>
  <c r="I889" i="1"/>
  <c r="H889" i="1"/>
  <c r="N888" i="1"/>
  <c r="M888" i="1"/>
  <c r="L888" i="1"/>
  <c r="K888" i="1"/>
  <c r="J888" i="1"/>
  <c r="I888" i="1"/>
  <c r="H888" i="1"/>
  <c r="N887" i="1"/>
  <c r="M887" i="1"/>
  <c r="L887" i="1"/>
  <c r="K887" i="1"/>
  <c r="J887" i="1"/>
  <c r="I887" i="1"/>
  <c r="H887" i="1"/>
  <c r="N886" i="1"/>
  <c r="M886" i="1"/>
  <c r="L886" i="1"/>
  <c r="K886" i="1"/>
  <c r="J886" i="1"/>
  <c r="I886" i="1"/>
  <c r="H886" i="1"/>
  <c r="N885" i="1"/>
  <c r="M885" i="1"/>
  <c r="L885" i="1"/>
  <c r="K885" i="1"/>
  <c r="J885" i="1"/>
  <c r="I885" i="1"/>
  <c r="H885" i="1"/>
  <c r="N884" i="1"/>
  <c r="M884" i="1"/>
  <c r="L884" i="1"/>
  <c r="K884" i="1"/>
  <c r="J884" i="1"/>
  <c r="I884" i="1"/>
  <c r="H884" i="1"/>
  <c r="N883" i="1"/>
  <c r="M883" i="1"/>
  <c r="L883" i="1"/>
  <c r="K883" i="1"/>
  <c r="J883" i="1"/>
  <c r="I883" i="1"/>
  <c r="H883" i="1"/>
  <c r="N882" i="1"/>
  <c r="M882" i="1"/>
  <c r="L882" i="1"/>
  <c r="K882" i="1"/>
  <c r="J882" i="1"/>
  <c r="I882" i="1"/>
  <c r="H882" i="1"/>
  <c r="N881" i="1"/>
  <c r="M881" i="1"/>
  <c r="L881" i="1"/>
  <c r="K881" i="1"/>
  <c r="J881" i="1"/>
  <c r="I881" i="1"/>
  <c r="H881" i="1"/>
  <c r="N880" i="1"/>
  <c r="M880" i="1"/>
  <c r="L880" i="1"/>
  <c r="K880" i="1"/>
  <c r="J880" i="1"/>
  <c r="I880" i="1"/>
  <c r="H880" i="1"/>
  <c r="N879" i="1"/>
  <c r="M879" i="1"/>
  <c r="L879" i="1"/>
  <c r="K879" i="1"/>
  <c r="J879" i="1"/>
  <c r="I879" i="1"/>
  <c r="H879" i="1"/>
  <c r="N878" i="1"/>
  <c r="M878" i="1"/>
  <c r="L878" i="1"/>
  <c r="K878" i="1"/>
  <c r="J878" i="1"/>
  <c r="I878" i="1"/>
  <c r="H878" i="1"/>
  <c r="N877" i="1"/>
  <c r="M877" i="1"/>
  <c r="L877" i="1"/>
  <c r="K877" i="1"/>
  <c r="J877" i="1"/>
  <c r="I877" i="1"/>
  <c r="H877" i="1"/>
  <c r="N876" i="1"/>
  <c r="M876" i="1"/>
  <c r="L876" i="1"/>
  <c r="K876" i="1"/>
  <c r="J876" i="1"/>
  <c r="I876" i="1"/>
  <c r="H876" i="1"/>
  <c r="N875" i="1"/>
  <c r="M875" i="1"/>
  <c r="L875" i="1"/>
  <c r="K875" i="1"/>
  <c r="J875" i="1"/>
  <c r="I875" i="1"/>
  <c r="H875" i="1"/>
  <c r="N874" i="1"/>
  <c r="M874" i="1"/>
  <c r="L874" i="1"/>
  <c r="K874" i="1"/>
  <c r="J874" i="1"/>
  <c r="I874" i="1"/>
  <c r="H874" i="1"/>
  <c r="N873" i="1"/>
  <c r="M873" i="1"/>
  <c r="L873" i="1"/>
  <c r="K873" i="1"/>
  <c r="J873" i="1"/>
  <c r="I873" i="1"/>
  <c r="H873" i="1"/>
  <c r="N872" i="1"/>
  <c r="M872" i="1"/>
  <c r="L872" i="1"/>
  <c r="K872" i="1"/>
  <c r="J872" i="1"/>
  <c r="I872" i="1"/>
  <c r="H872" i="1"/>
  <c r="N871" i="1"/>
  <c r="M871" i="1"/>
  <c r="L871" i="1"/>
  <c r="K871" i="1"/>
  <c r="J871" i="1"/>
  <c r="I871" i="1"/>
  <c r="H871" i="1"/>
  <c r="N870" i="1"/>
  <c r="M870" i="1"/>
  <c r="L870" i="1"/>
  <c r="K870" i="1"/>
  <c r="J870" i="1"/>
  <c r="I870" i="1"/>
  <c r="H870" i="1"/>
  <c r="N869" i="1"/>
  <c r="M869" i="1"/>
  <c r="L869" i="1"/>
  <c r="K869" i="1"/>
  <c r="J869" i="1"/>
  <c r="I869" i="1"/>
  <c r="H869" i="1"/>
  <c r="N868" i="1"/>
  <c r="M868" i="1"/>
  <c r="L868" i="1"/>
  <c r="K868" i="1"/>
  <c r="J868" i="1"/>
  <c r="I868" i="1"/>
  <c r="H868" i="1"/>
  <c r="N867" i="1"/>
  <c r="M867" i="1"/>
  <c r="L867" i="1"/>
  <c r="K867" i="1"/>
  <c r="J867" i="1"/>
  <c r="I867" i="1"/>
  <c r="H867" i="1"/>
  <c r="N866" i="1"/>
  <c r="M866" i="1"/>
  <c r="L866" i="1"/>
  <c r="K866" i="1"/>
  <c r="J866" i="1"/>
  <c r="O866" i="1" s="1"/>
  <c r="I866" i="1"/>
  <c r="H866" i="1"/>
  <c r="N865" i="1"/>
  <c r="M865" i="1"/>
  <c r="L865" i="1"/>
  <c r="K865" i="1"/>
  <c r="J865" i="1"/>
  <c r="O865" i="1" s="1"/>
  <c r="I865" i="1"/>
  <c r="H865" i="1"/>
  <c r="N863" i="1"/>
  <c r="M863" i="1"/>
  <c r="L863" i="1"/>
  <c r="K863" i="1"/>
  <c r="J863" i="1"/>
  <c r="I863" i="1"/>
  <c r="H863" i="1"/>
  <c r="N862" i="1"/>
  <c r="M862" i="1"/>
  <c r="L862" i="1"/>
  <c r="K862" i="1"/>
  <c r="J862" i="1"/>
  <c r="I862" i="1"/>
  <c r="H862" i="1"/>
  <c r="N861" i="1"/>
  <c r="M861" i="1"/>
  <c r="L861" i="1"/>
  <c r="K861" i="1"/>
  <c r="J861" i="1"/>
  <c r="I861" i="1"/>
  <c r="H861" i="1"/>
  <c r="N860" i="1"/>
  <c r="M860" i="1"/>
  <c r="L860" i="1"/>
  <c r="K860" i="1"/>
  <c r="J860" i="1"/>
  <c r="I860" i="1"/>
  <c r="H860" i="1"/>
  <c r="N859" i="1"/>
  <c r="M859" i="1"/>
  <c r="L859" i="1"/>
  <c r="K859" i="1"/>
  <c r="J859" i="1"/>
  <c r="I859" i="1"/>
  <c r="H859" i="1"/>
  <c r="N858" i="1"/>
  <c r="M858" i="1"/>
  <c r="L858" i="1"/>
  <c r="K858" i="1"/>
  <c r="J858" i="1"/>
  <c r="I858" i="1"/>
  <c r="H858" i="1"/>
  <c r="N857" i="1"/>
  <c r="M857" i="1"/>
  <c r="L857" i="1"/>
  <c r="K857" i="1"/>
  <c r="J857" i="1"/>
  <c r="O857" i="1" s="1"/>
  <c r="I857" i="1"/>
  <c r="H857" i="1"/>
  <c r="N856" i="1"/>
  <c r="M856" i="1"/>
  <c r="L856" i="1"/>
  <c r="K856" i="1"/>
  <c r="J856" i="1"/>
  <c r="I856" i="1"/>
  <c r="H856" i="1"/>
  <c r="N855" i="1"/>
  <c r="M855" i="1"/>
  <c r="L855" i="1"/>
  <c r="K855" i="1"/>
  <c r="J855" i="1"/>
  <c r="I855" i="1"/>
  <c r="H855" i="1"/>
  <c r="N854" i="1"/>
  <c r="M854" i="1"/>
  <c r="L854" i="1"/>
  <c r="K854" i="1"/>
  <c r="J854" i="1"/>
  <c r="O854" i="1" s="1"/>
  <c r="I854" i="1"/>
  <c r="H854" i="1"/>
  <c r="N853" i="1"/>
  <c r="M853" i="1"/>
  <c r="L853" i="1"/>
  <c r="K853" i="1"/>
  <c r="J853" i="1"/>
  <c r="I853" i="1"/>
  <c r="H853" i="1"/>
  <c r="N852" i="1"/>
  <c r="M852" i="1"/>
  <c r="L852" i="1"/>
  <c r="K852" i="1"/>
  <c r="J852" i="1"/>
  <c r="I852" i="1"/>
  <c r="H852" i="1"/>
  <c r="N851" i="1"/>
  <c r="M851" i="1"/>
  <c r="L851" i="1"/>
  <c r="K851" i="1"/>
  <c r="J851" i="1"/>
  <c r="I851" i="1"/>
  <c r="H851" i="1"/>
  <c r="N850" i="1"/>
  <c r="M850" i="1"/>
  <c r="L850" i="1"/>
  <c r="K850" i="1"/>
  <c r="J850" i="1"/>
  <c r="I850" i="1"/>
  <c r="H850" i="1"/>
  <c r="N849" i="1"/>
  <c r="M849" i="1"/>
  <c r="L849" i="1"/>
  <c r="K849" i="1"/>
  <c r="J849" i="1"/>
  <c r="I849" i="1"/>
  <c r="H849" i="1"/>
  <c r="N848" i="1"/>
  <c r="M848" i="1"/>
  <c r="L848" i="1"/>
  <c r="K848" i="1"/>
  <c r="J848" i="1"/>
  <c r="I848" i="1"/>
  <c r="H848" i="1"/>
  <c r="N847" i="1"/>
  <c r="M847" i="1"/>
  <c r="L847" i="1"/>
  <c r="K847" i="1"/>
  <c r="J847" i="1"/>
  <c r="I847" i="1"/>
  <c r="H847" i="1"/>
  <c r="N846" i="1"/>
  <c r="M846" i="1"/>
  <c r="L846" i="1"/>
  <c r="K846" i="1"/>
  <c r="J846" i="1"/>
  <c r="O846" i="1" s="1"/>
  <c r="I846" i="1"/>
  <c r="H846" i="1"/>
  <c r="N845" i="1"/>
  <c r="M845" i="1"/>
  <c r="L845" i="1"/>
  <c r="K845" i="1"/>
  <c r="J845" i="1"/>
  <c r="O845" i="1" s="1"/>
  <c r="I845" i="1"/>
  <c r="H845" i="1"/>
  <c r="N844" i="1"/>
  <c r="M844" i="1"/>
  <c r="L844" i="1"/>
  <c r="K844" i="1"/>
  <c r="J844" i="1"/>
  <c r="I844" i="1"/>
  <c r="H844" i="1"/>
  <c r="N843" i="1"/>
  <c r="M843" i="1"/>
  <c r="L843" i="1"/>
  <c r="K843" i="1"/>
  <c r="J843" i="1"/>
  <c r="I843" i="1"/>
  <c r="H843" i="1"/>
  <c r="N842" i="1"/>
  <c r="M842" i="1"/>
  <c r="L842" i="1"/>
  <c r="K842" i="1"/>
  <c r="J842" i="1"/>
  <c r="O842" i="1" s="1"/>
  <c r="I842" i="1"/>
  <c r="H842" i="1"/>
  <c r="N841" i="1"/>
  <c r="M841" i="1"/>
  <c r="L841" i="1"/>
  <c r="K841" i="1"/>
  <c r="J841" i="1"/>
  <c r="I841" i="1"/>
  <c r="H841" i="1"/>
  <c r="N840" i="1"/>
  <c r="M840" i="1"/>
  <c r="L840" i="1"/>
  <c r="K840" i="1"/>
  <c r="J840" i="1"/>
  <c r="I840" i="1"/>
  <c r="H840" i="1"/>
  <c r="N839" i="1"/>
  <c r="M839" i="1"/>
  <c r="L839" i="1"/>
  <c r="K839" i="1"/>
  <c r="J839" i="1"/>
  <c r="I839" i="1"/>
  <c r="H839" i="1"/>
  <c r="N837" i="1"/>
  <c r="M837" i="1"/>
  <c r="L837" i="1"/>
  <c r="K837" i="1"/>
  <c r="J837" i="1"/>
  <c r="I837" i="1"/>
  <c r="H837" i="1"/>
  <c r="N836" i="1"/>
  <c r="M836" i="1"/>
  <c r="L836" i="1"/>
  <c r="K836" i="1"/>
  <c r="J836" i="1"/>
  <c r="I836" i="1"/>
  <c r="H836" i="1"/>
  <c r="N835" i="1"/>
  <c r="M835" i="1"/>
  <c r="L835" i="1"/>
  <c r="K835" i="1"/>
  <c r="J835" i="1"/>
  <c r="I835" i="1"/>
  <c r="H835" i="1"/>
  <c r="N834" i="1"/>
  <c r="M834" i="1"/>
  <c r="L834" i="1"/>
  <c r="K834" i="1"/>
  <c r="J834" i="1"/>
  <c r="I834" i="1"/>
  <c r="H834" i="1"/>
  <c r="N833" i="1"/>
  <c r="M833" i="1"/>
  <c r="L833" i="1"/>
  <c r="K833" i="1"/>
  <c r="J833" i="1"/>
  <c r="I833" i="1"/>
  <c r="H833" i="1"/>
  <c r="N832" i="1"/>
  <c r="M832" i="1"/>
  <c r="L832" i="1"/>
  <c r="K832" i="1"/>
  <c r="J832" i="1"/>
  <c r="I832" i="1"/>
  <c r="H832" i="1"/>
  <c r="N831" i="1"/>
  <c r="M831" i="1"/>
  <c r="L831" i="1"/>
  <c r="K831" i="1"/>
  <c r="J831" i="1"/>
  <c r="I831" i="1"/>
  <c r="H831" i="1"/>
  <c r="N830" i="1"/>
  <c r="M830" i="1"/>
  <c r="L830" i="1"/>
  <c r="K830" i="1"/>
  <c r="J830" i="1"/>
  <c r="I830" i="1"/>
  <c r="H830" i="1"/>
  <c r="N829" i="1"/>
  <c r="M829" i="1"/>
  <c r="L829" i="1"/>
  <c r="K829" i="1"/>
  <c r="J829" i="1"/>
  <c r="I829" i="1"/>
  <c r="H829" i="1"/>
  <c r="N828" i="1"/>
  <c r="M828" i="1"/>
  <c r="L828" i="1"/>
  <c r="K828" i="1"/>
  <c r="J828" i="1"/>
  <c r="I828" i="1"/>
  <c r="H828" i="1"/>
  <c r="N827" i="1"/>
  <c r="M827" i="1"/>
  <c r="L827" i="1"/>
  <c r="K827" i="1"/>
  <c r="J827" i="1"/>
  <c r="I827" i="1"/>
  <c r="H827" i="1"/>
  <c r="N826" i="1"/>
  <c r="M826" i="1"/>
  <c r="L826" i="1"/>
  <c r="K826" i="1"/>
  <c r="J826" i="1"/>
  <c r="I826" i="1"/>
  <c r="H826" i="1"/>
  <c r="N825" i="1"/>
  <c r="M825" i="1"/>
  <c r="L825" i="1"/>
  <c r="K825" i="1"/>
  <c r="J825" i="1"/>
  <c r="I825" i="1"/>
  <c r="H825" i="1"/>
  <c r="N824" i="1"/>
  <c r="M824" i="1"/>
  <c r="L824" i="1"/>
  <c r="K824" i="1"/>
  <c r="J824" i="1"/>
  <c r="I824" i="1"/>
  <c r="H824" i="1"/>
  <c r="N823" i="1"/>
  <c r="M823" i="1"/>
  <c r="L823" i="1"/>
  <c r="K823" i="1"/>
  <c r="J823" i="1"/>
  <c r="I823" i="1"/>
  <c r="H823" i="1"/>
  <c r="N822" i="1"/>
  <c r="M822" i="1"/>
  <c r="L822" i="1"/>
  <c r="K822" i="1"/>
  <c r="J822" i="1"/>
  <c r="I822" i="1"/>
  <c r="H822" i="1"/>
  <c r="N821" i="1"/>
  <c r="M821" i="1"/>
  <c r="L821" i="1"/>
  <c r="K821" i="1"/>
  <c r="J821" i="1"/>
  <c r="I821" i="1"/>
  <c r="H821" i="1"/>
  <c r="N820" i="1"/>
  <c r="M820" i="1"/>
  <c r="L820" i="1"/>
  <c r="K820" i="1"/>
  <c r="J820" i="1"/>
  <c r="I820" i="1"/>
  <c r="H820" i="1"/>
  <c r="N819" i="1"/>
  <c r="M819" i="1"/>
  <c r="L819" i="1"/>
  <c r="K819" i="1"/>
  <c r="J819" i="1"/>
  <c r="I819" i="1"/>
  <c r="H819" i="1"/>
  <c r="N816" i="1"/>
  <c r="M816" i="1"/>
  <c r="L816" i="1"/>
  <c r="K816" i="1"/>
  <c r="J816" i="1"/>
  <c r="I816" i="1"/>
  <c r="H816" i="1"/>
  <c r="N815" i="1"/>
  <c r="M815" i="1"/>
  <c r="L815" i="1"/>
  <c r="K815" i="1"/>
  <c r="J815" i="1"/>
  <c r="I815" i="1"/>
  <c r="H815" i="1"/>
  <c r="N814" i="1"/>
  <c r="M814" i="1"/>
  <c r="L814" i="1"/>
  <c r="K814" i="1"/>
  <c r="J814" i="1"/>
  <c r="I814" i="1"/>
  <c r="H814" i="1"/>
  <c r="N813" i="1"/>
  <c r="M813" i="1"/>
  <c r="L813" i="1"/>
  <c r="K813" i="1"/>
  <c r="J813" i="1"/>
  <c r="I813" i="1"/>
  <c r="H813" i="1"/>
  <c r="I812" i="1"/>
  <c r="N811" i="1"/>
  <c r="M811" i="1"/>
  <c r="L811" i="1"/>
  <c r="K811" i="1"/>
  <c r="J811" i="1"/>
  <c r="I811" i="1"/>
  <c r="H811" i="1"/>
  <c r="N810" i="1"/>
  <c r="M810" i="1"/>
  <c r="L810" i="1"/>
  <c r="K810" i="1"/>
  <c r="J810" i="1"/>
  <c r="I810" i="1"/>
  <c r="H810" i="1"/>
  <c r="N809" i="1"/>
  <c r="M809" i="1"/>
  <c r="L809" i="1"/>
  <c r="K809" i="1"/>
  <c r="J809" i="1"/>
  <c r="I809" i="1"/>
  <c r="H809" i="1"/>
  <c r="N808" i="1"/>
  <c r="M808" i="1"/>
  <c r="L808" i="1"/>
  <c r="K808" i="1"/>
  <c r="J808" i="1"/>
  <c r="I808" i="1"/>
  <c r="H808" i="1"/>
  <c r="N807" i="1"/>
  <c r="M807" i="1"/>
  <c r="L807" i="1"/>
  <c r="K807" i="1"/>
  <c r="J807" i="1"/>
  <c r="I807" i="1"/>
  <c r="H807" i="1"/>
  <c r="N806" i="1"/>
  <c r="M806" i="1"/>
  <c r="L806" i="1"/>
  <c r="K806" i="1"/>
  <c r="J806" i="1"/>
  <c r="I806" i="1"/>
  <c r="H806" i="1"/>
  <c r="N805" i="1"/>
  <c r="M805" i="1"/>
  <c r="L805" i="1"/>
  <c r="K805" i="1"/>
  <c r="J805" i="1"/>
  <c r="I805" i="1"/>
  <c r="H805" i="1"/>
  <c r="N804" i="1"/>
  <c r="M804" i="1"/>
  <c r="L804" i="1"/>
  <c r="K804" i="1"/>
  <c r="J804" i="1"/>
  <c r="I804" i="1"/>
  <c r="H804" i="1"/>
  <c r="N803" i="1"/>
  <c r="M803" i="1"/>
  <c r="L803" i="1"/>
  <c r="K803" i="1"/>
  <c r="J803" i="1"/>
  <c r="I803" i="1"/>
  <c r="H803" i="1"/>
  <c r="N802" i="1"/>
  <c r="M802" i="1"/>
  <c r="L802" i="1"/>
  <c r="K802" i="1"/>
  <c r="J802" i="1"/>
  <c r="I802" i="1"/>
  <c r="H802" i="1"/>
  <c r="N801" i="1"/>
  <c r="M801" i="1"/>
  <c r="L801" i="1"/>
  <c r="K801" i="1"/>
  <c r="J801" i="1"/>
  <c r="I801" i="1"/>
  <c r="H801" i="1"/>
  <c r="N800" i="1"/>
  <c r="M800" i="1"/>
  <c r="L800" i="1"/>
  <c r="K800" i="1"/>
  <c r="J800" i="1"/>
  <c r="I800" i="1"/>
  <c r="H800" i="1"/>
  <c r="N798" i="1"/>
  <c r="M798" i="1"/>
  <c r="L798" i="1"/>
  <c r="K798" i="1"/>
  <c r="J798" i="1"/>
  <c r="I798" i="1"/>
  <c r="H798" i="1"/>
  <c r="N797" i="1"/>
  <c r="M797" i="1"/>
  <c r="L797" i="1"/>
  <c r="K797" i="1"/>
  <c r="J797" i="1"/>
  <c r="I797" i="1"/>
  <c r="H797" i="1"/>
  <c r="N796" i="1"/>
  <c r="M796" i="1"/>
  <c r="L796" i="1"/>
  <c r="K796" i="1"/>
  <c r="J796" i="1"/>
  <c r="I796" i="1"/>
  <c r="H796" i="1"/>
  <c r="N795" i="1"/>
  <c r="M795" i="1"/>
  <c r="L795" i="1"/>
  <c r="K795" i="1"/>
  <c r="J795" i="1"/>
  <c r="I795" i="1"/>
  <c r="H795" i="1"/>
  <c r="N794" i="1"/>
  <c r="M794" i="1"/>
  <c r="L794" i="1"/>
  <c r="K794" i="1"/>
  <c r="J794" i="1"/>
  <c r="I794" i="1"/>
  <c r="H794" i="1"/>
  <c r="N793" i="1"/>
  <c r="M793" i="1"/>
  <c r="L793" i="1"/>
  <c r="K793" i="1"/>
  <c r="J793" i="1"/>
  <c r="I793" i="1"/>
  <c r="H793" i="1"/>
  <c r="N792" i="1"/>
  <c r="M792" i="1"/>
  <c r="L792" i="1"/>
  <c r="K792" i="1"/>
  <c r="J792" i="1"/>
  <c r="I792" i="1"/>
  <c r="H792" i="1"/>
  <c r="N791" i="1"/>
  <c r="M791" i="1"/>
  <c r="L791" i="1"/>
  <c r="K791" i="1"/>
  <c r="J791" i="1"/>
  <c r="I791" i="1"/>
  <c r="H791" i="1"/>
  <c r="N790" i="1"/>
  <c r="M790" i="1"/>
  <c r="L790" i="1"/>
  <c r="K790" i="1"/>
  <c r="J790" i="1"/>
  <c r="I790" i="1"/>
  <c r="H790" i="1"/>
  <c r="N789" i="1"/>
  <c r="M789" i="1"/>
  <c r="L789" i="1"/>
  <c r="K789" i="1"/>
  <c r="J789" i="1"/>
  <c r="I789" i="1"/>
  <c r="H789" i="1"/>
  <c r="N788" i="1"/>
  <c r="M788" i="1"/>
  <c r="L788" i="1"/>
  <c r="K788" i="1"/>
  <c r="J788" i="1"/>
  <c r="I788" i="1"/>
  <c r="H788" i="1"/>
  <c r="N787" i="1"/>
  <c r="M787" i="1"/>
  <c r="L787" i="1"/>
  <c r="K787" i="1"/>
  <c r="J787" i="1"/>
  <c r="I787" i="1"/>
  <c r="H787" i="1"/>
  <c r="N786" i="1"/>
  <c r="M786" i="1"/>
  <c r="L786" i="1"/>
  <c r="K786" i="1"/>
  <c r="J786" i="1"/>
  <c r="I786" i="1"/>
  <c r="H786" i="1"/>
  <c r="N785" i="1"/>
  <c r="M785" i="1"/>
  <c r="L785" i="1"/>
  <c r="K785" i="1"/>
  <c r="J785" i="1"/>
  <c r="I785" i="1"/>
  <c r="H785" i="1"/>
  <c r="N784" i="1"/>
  <c r="M784" i="1"/>
  <c r="L784" i="1"/>
  <c r="K784" i="1"/>
  <c r="J784" i="1"/>
  <c r="I784" i="1"/>
  <c r="H784" i="1"/>
  <c r="N783" i="1"/>
  <c r="M783" i="1"/>
  <c r="L783" i="1"/>
  <c r="K783" i="1"/>
  <c r="J783" i="1"/>
  <c r="I783" i="1"/>
  <c r="H783" i="1"/>
  <c r="N782" i="1"/>
  <c r="M782" i="1"/>
  <c r="L782" i="1"/>
  <c r="K782" i="1"/>
  <c r="J782" i="1"/>
  <c r="I782" i="1"/>
  <c r="H782" i="1"/>
  <c r="N781" i="1"/>
  <c r="M781" i="1"/>
  <c r="L781" i="1"/>
  <c r="K781" i="1"/>
  <c r="J781" i="1"/>
  <c r="I781" i="1"/>
  <c r="H781" i="1"/>
  <c r="N780" i="1"/>
  <c r="M780" i="1"/>
  <c r="L780" i="1"/>
  <c r="K780" i="1"/>
  <c r="J780" i="1"/>
  <c r="I780" i="1"/>
  <c r="H780" i="1"/>
  <c r="N779" i="1"/>
  <c r="M779" i="1"/>
  <c r="L779" i="1"/>
  <c r="K779" i="1"/>
  <c r="J779" i="1"/>
  <c r="I779" i="1"/>
  <c r="H779" i="1"/>
  <c r="N778" i="1"/>
  <c r="M778" i="1"/>
  <c r="L778" i="1"/>
  <c r="K778" i="1"/>
  <c r="J778" i="1"/>
  <c r="I778" i="1"/>
  <c r="H778" i="1"/>
  <c r="N777" i="1"/>
  <c r="M777" i="1"/>
  <c r="L777" i="1"/>
  <c r="K777" i="1"/>
  <c r="J777" i="1"/>
  <c r="I777" i="1"/>
  <c r="H777" i="1"/>
  <c r="N776" i="1"/>
  <c r="M776" i="1"/>
  <c r="L776" i="1"/>
  <c r="K776" i="1"/>
  <c r="J776" i="1"/>
  <c r="I776" i="1"/>
  <c r="H776" i="1"/>
  <c r="N775" i="1"/>
  <c r="M775" i="1"/>
  <c r="L775" i="1"/>
  <c r="K775" i="1"/>
  <c r="J775" i="1"/>
  <c r="I775" i="1"/>
  <c r="H775" i="1"/>
  <c r="N774" i="1"/>
  <c r="M774" i="1"/>
  <c r="L774" i="1"/>
  <c r="K774" i="1"/>
  <c r="J774" i="1"/>
  <c r="I774" i="1"/>
  <c r="H774" i="1"/>
  <c r="N773" i="1"/>
  <c r="M773" i="1"/>
  <c r="L773" i="1"/>
  <c r="K773" i="1"/>
  <c r="J773" i="1"/>
  <c r="I773" i="1"/>
  <c r="H773" i="1"/>
  <c r="N772" i="1"/>
  <c r="M772" i="1"/>
  <c r="L772" i="1"/>
  <c r="K772" i="1"/>
  <c r="J772" i="1"/>
  <c r="I772" i="1"/>
  <c r="H772" i="1"/>
  <c r="N771" i="1"/>
  <c r="M771" i="1"/>
  <c r="L771" i="1"/>
  <c r="K771" i="1"/>
  <c r="J771" i="1"/>
  <c r="I771" i="1"/>
  <c r="H771" i="1"/>
  <c r="N770" i="1"/>
  <c r="M770" i="1"/>
  <c r="L770" i="1"/>
  <c r="K770" i="1"/>
  <c r="J770" i="1"/>
  <c r="I770" i="1"/>
  <c r="H770" i="1"/>
  <c r="N769" i="1"/>
  <c r="M769" i="1"/>
  <c r="L769" i="1"/>
  <c r="K769" i="1"/>
  <c r="J769" i="1"/>
  <c r="I769" i="1"/>
  <c r="H769" i="1"/>
  <c r="N768" i="1"/>
  <c r="M768" i="1"/>
  <c r="L768" i="1"/>
  <c r="K768" i="1"/>
  <c r="J768" i="1"/>
  <c r="I768" i="1"/>
  <c r="H768" i="1"/>
  <c r="N767" i="1"/>
  <c r="M767" i="1"/>
  <c r="L767" i="1"/>
  <c r="K767" i="1"/>
  <c r="J767" i="1"/>
  <c r="I767" i="1"/>
  <c r="H767" i="1"/>
  <c r="N766" i="1"/>
  <c r="M766" i="1"/>
  <c r="L766" i="1"/>
  <c r="K766" i="1"/>
  <c r="J766" i="1"/>
  <c r="I766" i="1"/>
  <c r="H766" i="1"/>
  <c r="N765" i="1"/>
  <c r="M765" i="1"/>
  <c r="L765" i="1"/>
  <c r="K765" i="1"/>
  <c r="J765" i="1"/>
  <c r="I765" i="1"/>
  <c r="H765" i="1"/>
  <c r="N764" i="1"/>
  <c r="M764" i="1"/>
  <c r="L764" i="1"/>
  <c r="K764" i="1"/>
  <c r="J764" i="1"/>
  <c r="I764" i="1"/>
  <c r="H764" i="1"/>
  <c r="N763" i="1"/>
  <c r="M763" i="1"/>
  <c r="L763" i="1"/>
  <c r="K763" i="1"/>
  <c r="J763" i="1"/>
  <c r="I763" i="1"/>
  <c r="H763" i="1"/>
  <c r="N762" i="1"/>
  <c r="M762" i="1"/>
  <c r="L762" i="1"/>
  <c r="K762" i="1"/>
  <c r="J762" i="1"/>
  <c r="I762" i="1"/>
  <c r="H762" i="1"/>
  <c r="N761" i="1"/>
  <c r="M761" i="1"/>
  <c r="L761" i="1"/>
  <c r="K761" i="1"/>
  <c r="J761" i="1"/>
  <c r="I761" i="1"/>
  <c r="H761" i="1"/>
  <c r="N760" i="1"/>
  <c r="M760" i="1"/>
  <c r="L760" i="1"/>
  <c r="K760" i="1"/>
  <c r="J760" i="1"/>
  <c r="I760" i="1"/>
  <c r="H760" i="1"/>
  <c r="N759" i="1"/>
  <c r="M759" i="1"/>
  <c r="L759" i="1"/>
  <c r="K759" i="1"/>
  <c r="J759" i="1"/>
  <c r="I759" i="1"/>
  <c r="H759" i="1"/>
  <c r="N758" i="1"/>
  <c r="M758" i="1"/>
  <c r="L758" i="1"/>
  <c r="K758" i="1"/>
  <c r="J758" i="1"/>
  <c r="I758" i="1"/>
  <c r="H758" i="1"/>
  <c r="N757" i="1"/>
  <c r="M757" i="1"/>
  <c r="L757" i="1"/>
  <c r="K757" i="1"/>
  <c r="J757" i="1"/>
  <c r="I757" i="1"/>
  <c r="H757" i="1"/>
  <c r="N756" i="1"/>
  <c r="M756" i="1"/>
  <c r="L756" i="1"/>
  <c r="K756" i="1"/>
  <c r="J756" i="1"/>
  <c r="I756" i="1"/>
  <c r="H756" i="1"/>
  <c r="N755" i="1"/>
  <c r="M755" i="1"/>
  <c r="L755" i="1"/>
  <c r="K755" i="1"/>
  <c r="J755" i="1"/>
  <c r="I755" i="1"/>
  <c r="H755" i="1"/>
  <c r="N754" i="1"/>
  <c r="M754" i="1"/>
  <c r="L754" i="1"/>
  <c r="O754" i="1" s="1"/>
  <c r="K754" i="1"/>
  <c r="J754" i="1"/>
  <c r="I754" i="1"/>
  <c r="H754" i="1"/>
  <c r="N753" i="1"/>
  <c r="M753" i="1"/>
  <c r="L753" i="1"/>
  <c r="K753" i="1"/>
  <c r="J753" i="1"/>
  <c r="I753" i="1"/>
  <c r="H753" i="1"/>
  <c r="N752" i="1"/>
  <c r="M752" i="1"/>
  <c r="L752" i="1"/>
  <c r="K752" i="1"/>
  <c r="J752" i="1"/>
  <c r="I752" i="1"/>
  <c r="H752" i="1"/>
  <c r="N751" i="1"/>
  <c r="M751" i="1"/>
  <c r="L751" i="1"/>
  <c r="K751" i="1"/>
  <c r="J751" i="1"/>
  <c r="I751" i="1"/>
  <c r="H751" i="1"/>
  <c r="N750" i="1"/>
  <c r="M750" i="1"/>
  <c r="L750" i="1"/>
  <c r="K750" i="1"/>
  <c r="J750" i="1"/>
  <c r="I750" i="1"/>
  <c r="H750" i="1"/>
  <c r="N749" i="1"/>
  <c r="M749" i="1"/>
  <c r="L749" i="1"/>
  <c r="K749" i="1"/>
  <c r="J749" i="1"/>
  <c r="I749" i="1"/>
  <c r="H749" i="1"/>
  <c r="N747" i="1"/>
  <c r="M747" i="1"/>
  <c r="L747" i="1"/>
  <c r="K747" i="1"/>
  <c r="J747" i="1"/>
  <c r="I747" i="1"/>
  <c r="H747" i="1"/>
  <c r="N746" i="1"/>
  <c r="M746" i="1"/>
  <c r="L746" i="1"/>
  <c r="K746" i="1"/>
  <c r="J746" i="1"/>
  <c r="I746" i="1"/>
  <c r="H746" i="1"/>
  <c r="N745" i="1"/>
  <c r="M745" i="1"/>
  <c r="L745" i="1"/>
  <c r="O745" i="1" s="1"/>
  <c r="K745" i="1"/>
  <c r="J745" i="1"/>
  <c r="I745" i="1"/>
  <c r="H745" i="1"/>
  <c r="N744" i="1"/>
  <c r="M744" i="1"/>
  <c r="L744" i="1"/>
  <c r="K744" i="1"/>
  <c r="J744" i="1"/>
  <c r="I744" i="1"/>
  <c r="H744" i="1"/>
  <c r="N743" i="1"/>
  <c r="M743" i="1"/>
  <c r="L743" i="1"/>
  <c r="K743" i="1"/>
  <c r="J743" i="1"/>
  <c r="I743" i="1"/>
  <c r="H743" i="1"/>
  <c r="N742" i="1"/>
  <c r="M742" i="1"/>
  <c r="L742" i="1"/>
  <c r="K742" i="1"/>
  <c r="J742" i="1"/>
  <c r="I742" i="1"/>
  <c r="H742" i="1"/>
  <c r="N741" i="1"/>
  <c r="M741" i="1"/>
  <c r="L741" i="1"/>
  <c r="K741" i="1"/>
  <c r="J741" i="1"/>
  <c r="I741" i="1"/>
  <c r="H741" i="1"/>
  <c r="N740" i="1"/>
  <c r="M740" i="1"/>
  <c r="L740" i="1"/>
  <c r="K740" i="1"/>
  <c r="J740" i="1"/>
  <c r="I740" i="1"/>
  <c r="H740" i="1"/>
  <c r="N739" i="1"/>
  <c r="M739" i="1"/>
  <c r="L739" i="1"/>
  <c r="K739" i="1"/>
  <c r="J739" i="1"/>
  <c r="I739" i="1"/>
  <c r="H739" i="1"/>
  <c r="N738" i="1"/>
  <c r="M738" i="1"/>
  <c r="L738" i="1"/>
  <c r="K738" i="1"/>
  <c r="J738" i="1"/>
  <c r="I738" i="1"/>
  <c r="H738" i="1"/>
  <c r="N737" i="1"/>
  <c r="M737" i="1"/>
  <c r="L737" i="1"/>
  <c r="K737" i="1"/>
  <c r="J737" i="1"/>
  <c r="I737" i="1"/>
  <c r="H737" i="1"/>
  <c r="N736" i="1"/>
  <c r="M736" i="1"/>
  <c r="L736" i="1"/>
  <c r="K736" i="1"/>
  <c r="J736" i="1"/>
  <c r="I736" i="1"/>
  <c r="H736" i="1"/>
  <c r="N735" i="1"/>
  <c r="M735" i="1"/>
  <c r="L735" i="1"/>
  <c r="K735" i="1"/>
  <c r="J735" i="1"/>
  <c r="I735" i="1"/>
  <c r="H735" i="1"/>
  <c r="N734" i="1"/>
  <c r="M734" i="1"/>
  <c r="L734" i="1"/>
  <c r="K734" i="1"/>
  <c r="J734" i="1"/>
  <c r="I734" i="1"/>
  <c r="H734" i="1"/>
  <c r="N733" i="1"/>
  <c r="M733" i="1"/>
  <c r="L733" i="1"/>
  <c r="K733" i="1"/>
  <c r="J733" i="1"/>
  <c r="I733" i="1"/>
  <c r="H733" i="1"/>
  <c r="N732" i="1"/>
  <c r="M732" i="1"/>
  <c r="L732" i="1"/>
  <c r="K732" i="1"/>
  <c r="J732" i="1"/>
  <c r="I732" i="1"/>
  <c r="H732" i="1"/>
  <c r="N731" i="1"/>
  <c r="M731" i="1"/>
  <c r="L731" i="1"/>
  <c r="K731" i="1"/>
  <c r="J731" i="1"/>
  <c r="I731" i="1"/>
  <c r="H731" i="1"/>
  <c r="N730" i="1"/>
  <c r="M730" i="1"/>
  <c r="L730" i="1"/>
  <c r="K730" i="1"/>
  <c r="J730" i="1"/>
  <c r="I730" i="1"/>
  <c r="H730" i="1"/>
  <c r="N729" i="1"/>
  <c r="M729" i="1"/>
  <c r="L729" i="1"/>
  <c r="K729" i="1"/>
  <c r="J729" i="1"/>
  <c r="I729" i="1"/>
  <c r="H729" i="1"/>
  <c r="N728" i="1"/>
  <c r="M728" i="1"/>
  <c r="L728" i="1"/>
  <c r="K728" i="1"/>
  <c r="J728" i="1"/>
  <c r="I728" i="1"/>
  <c r="H728" i="1"/>
  <c r="N727" i="1"/>
  <c r="M727" i="1"/>
  <c r="L727" i="1"/>
  <c r="K727" i="1"/>
  <c r="J727" i="1"/>
  <c r="I727" i="1"/>
  <c r="H727" i="1"/>
  <c r="N726" i="1"/>
  <c r="M726" i="1"/>
  <c r="L726" i="1"/>
  <c r="K726" i="1"/>
  <c r="J726" i="1"/>
  <c r="I726" i="1"/>
  <c r="H726" i="1"/>
  <c r="N725" i="1"/>
  <c r="M725" i="1"/>
  <c r="L725" i="1"/>
  <c r="K725" i="1"/>
  <c r="J725" i="1"/>
  <c r="I725" i="1"/>
  <c r="H725" i="1"/>
  <c r="N724" i="1"/>
  <c r="M724" i="1"/>
  <c r="L724" i="1"/>
  <c r="K724" i="1"/>
  <c r="J724" i="1"/>
  <c r="I724" i="1"/>
  <c r="H724" i="1"/>
  <c r="N723" i="1"/>
  <c r="M723" i="1"/>
  <c r="L723" i="1"/>
  <c r="K723" i="1"/>
  <c r="J723" i="1"/>
  <c r="I723" i="1"/>
  <c r="H723" i="1"/>
  <c r="N722" i="1"/>
  <c r="M722" i="1"/>
  <c r="L722" i="1"/>
  <c r="K722" i="1"/>
  <c r="K721" i="1" s="1"/>
  <c r="J722" i="1"/>
  <c r="I722" i="1"/>
  <c r="H722" i="1"/>
  <c r="N720" i="1"/>
  <c r="M720" i="1"/>
  <c r="L720" i="1"/>
  <c r="K720" i="1"/>
  <c r="J720" i="1"/>
  <c r="I720" i="1"/>
  <c r="H720" i="1"/>
  <c r="N719" i="1"/>
  <c r="M719" i="1"/>
  <c r="L719" i="1"/>
  <c r="K719" i="1"/>
  <c r="J719" i="1"/>
  <c r="I719" i="1"/>
  <c r="H719" i="1"/>
  <c r="N718" i="1"/>
  <c r="M718" i="1"/>
  <c r="L718" i="1"/>
  <c r="K718" i="1"/>
  <c r="J718" i="1"/>
  <c r="I718" i="1"/>
  <c r="H718" i="1"/>
  <c r="N717" i="1"/>
  <c r="M717" i="1"/>
  <c r="L717" i="1"/>
  <c r="K717" i="1"/>
  <c r="J717" i="1"/>
  <c r="I717" i="1"/>
  <c r="H717" i="1"/>
  <c r="N716" i="1"/>
  <c r="M716" i="1"/>
  <c r="L716" i="1"/>
  <c r="K716" i="1"/>
  <c r="J716" i="1"/>
  <c r="I716" i="1"/>
  <c r="H716" i="1"/>
  <c r="N715" i="1"/>
  <c r="M715" i="1"/>
  <c r="L715" i="1"/>
  <c r="K715" i="1"/>
  <c r="J715" i="1"/>
  <c r="O715" i="1" s="1"/>
  <c r="I715" i="1"/>
  <c r="H715" i="1"/>
  <c r="N714" i="1"/>
  <c r="M714" i="1"/>
  <c r="L714" i="1"/>
  <c r="K714" i="1"/>
  <c r="J714" i="1"/>
  <c r="I714" i="1"/>
  <c r="H714" i="1"/>
  <c r="N713" i="1"/>
  <c r="M713" i="1"/>
  <c r="L713" i="1"/>
  <c r="K713" i="1"/>
  <c r="J713" i="1"/>
  <c r="I713" i="1"/>
  <c r="H713" i="1"/>
  <c r="N712" i="1"/>
  <c r="M712" i="1"/>
  <c r="L712" i="1"/>
  <c r="K712" i="1"/>
  <c r="J712" i="1"/>
  <c r="O712" i="1" s="1"/>
  <c r="I712" i="1"/>
  <c r="H712" i="1"/>
  <c r="N711" i="1"/>
  <c r="M711" i="1"/>
  <c r="L711" i="1"/>
  <c r="K711" i="1"/>
  <c r="J711" i="1"/>
  <c r="O711" i="1" s="1"/>
  <c r="I711" i="1"/>
  <c r="H711" i="1"/>
  <c r="N710" i="1"/>
  <c r="M710" i="1"/>
  <c r="L710" i="1"/>
  <c r="K710" i="1"/>
  <c r="J710" i="1"/>
  <c r="I710" i="1"/>
  <c r="H710" i="1"/>
  <c r="N709" i="1"/>
  <c r="M709" i="1"/>
  <c r="L709" i="1"/>
  <c r="K709" i="1"/>
  <c r="J709" i="1"/>
  <c r="I709" i="1"/>
  <c r="H709" i="1"/>
  <c r="N708" i="1"/>
  <c r="M708" i="1"/>
  <c r="L708" i="1"/>
  <c r="K708" i="1"/>
  <c r="J708" i="1"/>
  <c r="O708" i="1" s="1"/>
  <c r="I708" i="1"/>
  <c r="H708" i="1"/>
  <c r="N707" i="1"/>
  <c r="M707" i="1"/>
  <c r="L707" i="1"/>
  <c r="K707" i="1"/>
  <c r="J707" i="1"/>
  <c r="I707" i="1"/>
  <c r="H707" i="1"/>
  <c r="N706" i="1"/>
  <c r="M706" i="1"/>
  <c r="L706" i="1"/>
  <c r="K706" i="1"/>
  <c r="J706" i="1"/>
  <c r="O706" i="1" s="1"/>
  <c r="I706" i="1"/>
  <c r="H706" i="1"/>
  <c r="N705" i="1"/>
  <c r="M705" i="1"/>
  <c r="L705" i="1"/>
  <c r="K705" i="1"/>
  <c r="J705" i="1"/>
  <c r="I705" i="1"/>
  <c r="H705" i="1"/>
  <c r="N704" i="1"/>
  <c r="M704" i="1"/>
  <c r="L704" i="1"/>
  <c r="K704" i="1"/>
  <c r="J704" i="1"/>
  <c r="I704" i="1"/>
  <c r="H704" i="1"/>
  <c r="N703" i="1"/>
  <c r="M703" i="1"/>
  <c r="L703" i="1"/>
  <c r="K703" i="1"/>
  <c r="J703" i="1"/>
  <c r="O703" i="1" s="1"/>
  <c r="I703" i="1"/>
  <c r="H703" i="1"/>
  <c r="N702" i="1"/>
  <c r="M702" i="1"/>
  <c r="L702" i="1"/>
  <c r="K702" i="1"/>
  <c r="J702" i="1"/>
  <c r="I702" i="1"/>
  <c r="H702" i="1"/>
  <c r="N699" i="1"/>
  <c r="M699" i="1"/>
  <c r="L699" i="1"/>
  <c r="K699" i="1"/>
  <c r="J699" i="1"/>
  <c r="I699" i="1"/>
  <c r="H699" i="1"/>
  <c r="N698" i="1"/>
  <c r="M698" i="1"/>
  <c r="L698" i="1"/>
  <c r="K698" i="1"/>
  <c r="J698" i="1"/>
  <c r="I698" i="1"/>
  <c r="H698" i="1"/>
  <c r="N697" i="1"/>
  <c r="M697" i="1"/>
  <c r="L697" i="1"/>
  <c r="K697" i="1"/>
  <c r="J697" i="1"/>
  <c r="I697" i="1"/>
  <c r="H697" i="1"/>
  <c r="N696" i="1"/>
  <c r="M696" i="1"/>
  <c r="M695" i="1" s="1"/>
  <c r="L696" i="1"/>
  <c r="K696" i="1"/>
  <c r="J696" i="1"/>
  <c r="I696" i="1"/>
  <c r="H696" i="1"/>
  <c r="N694" i="1"/>
  <c r="M694" i="1"/>
  <c r="L694" i="1"/>
  <c r="K694" i="1"/>
  <c r="J694" i="1"/>
  <c r="I694" i="1"/>
  <c r="H694" i="1"/>
  <c r="N693" i="1"/>
  <c r="M693" i="1"/>
  <c r="L693" i="1"/>
  <c r="K693" i="1"/>
  <c r="J693" i="1"/>
  <c r="I693" i="1"/>
  <c r="H693" i="1"/>
  <c r="N692" i="1"/>
  <c r="M692" i="1"/>
  <c r="L692" i="1"/>
  <c r="K692" i="1"/>
  <c r="J692" i="1"/>
  <c r="I692" i="1"/>
  <c r="H692" i="1"/>
  <c r="N691" i="1"/>
  <c r="M691" i="1"/>
  <c r="L691" i="1"/>
  <c r="K691" i="1"/>
  <c r="J691" i="1"/>
  <c r="I691" i="1"/>
  <c r="H691" i="1"/>
  <c r="N690" i="1"/>
  <c r="M690" i="1"/>
  <c r="L690" i="1"/>
  <c r="K690" i="1"/>
  <c r="J690" i="1"/>
  <c r="I690" i="1"/>
  <c r="H690" i="1"/>
  <c r="N689" i="1"/>
  <c r="M689" i="1"/>
  <c r="L689" i="1"/>
  <c r="K689" i="1"/>
  <c r="J689" i="1"/>
  <c r="I689" i="1"/>
  <c r="H689" i="1"/>
  <c r="N688" i="1"/>
  <c r="M688" i="1"/>
  <c r="L688" i="1"/>
  <c r="K688" i="1"/>
  <c r="J688" i="1"/>
  <c r="I688" i="1"/>
  <c r="H688" i="1"/>
  <c r="N687" i="1"/>
  <c r="M687" i="1"/>
  <c r="L687" i="1"/>
  <c r="K687" i="1"/>
  <c r="J687" i="1"/>
  <c r="I687" i="1"/>
  <c r="H687" i="1"/>
  <c r="N686" i="1"/>
  <c r="M686" i="1"/>
  <c r="L686" i="1"/>
  <c r="K686" i="1"/>
  <c r="J686" i="1"/>
  <c r="I686" i="1"/>
  <c r="H686" i="1"/>
  <c r="N685" i="1"/>
  <c r="M685" i="1"/>
  <c r="L685" i="1"/>
  <c r="K685" i="1"/>
  <c r="J685" i="1"/>
  <c r="I685" i="1"/>
  <c r="H685" i="1"/>
  <c r="N684" i="1"/>
  <c r="M684" i="1"/>
  <c r="L684" i="1"/>
  <c r="K684" i="1"/>
  <c r="J684" i="1"/>
  <c r="I684" i="1"/>
  <c r="H684" i="1"/>
  <c r="N682" i="1"/>
  <c r="M682" i="1"/>
  <c r="L682" i="1"/>
  <c r="K682" i="1"/>
  <c r="J682" i="1"/>
  <c r="I682" i="1"/>
  <c r="H682" i="1"/>
  <c r="N681" i="1"/>
  <c r="M681" i="1"/>
  <c r="L681" i="1"/>
  <c r="K681" i="1"/>
  <c r="J681" i="1"/>
  <c r="I681" i="1"/>
  <c r="H681" i="1"/>
  <c r="N680" i="1"/>
  <c r="M680" i="1"/>
  <c r="L680" i="1"/>
  <c r="K680" i="1"/>
  <c r="J680" i="1"/>
  <c r="I680" i="1"/>
  <c r="H680" i="1"/>
  <c r="N679" i="1"/>
  <c r="M679" i="1"/>
  <c r="L679" i="1"/>
  <c r="K679" i="1"/>
  <c r="J679" i="1"/>
  <c r="I679" i="1"/>
  <c r="H679" i="1"/>
  <c r="N678" i="1"/>
  <c r="M678" i="1"/>
  <c r="L678" i="1"/>
  <c r="K678" i="1"/>
  <c r="J678" i="1"/>
  <c r="I678" i="1"/>
  <c r="H678" i="1"/>
  <c r="N677" i="1"/>
  <c r="M677" i="1"/>
  <c r="L677" i="1"/>
  <c r="K677" i="1"/>
  <c r="J677" i="1"/>
  <c r="I677" i="1"/>
  <c r="H677" i="1"/>
  <c r="N676" i="1"/>
  <c r="M676" i="1"/>
  <c r="L676" i="1"/>
  <c r="K676" i="1"/>
  <c r="J676" i="1"/>
  <c r="I676" i="1"/>
  <c r="H676" i="1"/>
  <c r="N675" i="1"/>
  <c r="M675" i="1"/>
  <c r="L675" i="1"/>
  <c r="K675" i="1"/>
  <c r="J675" i="1"/>
  <c r="I675" i="1"/>
  <c r="H675" i="1"/>
  <c r="N674" i="1"/>
  <c r="M674" i="1"/>
  <c r="L674" i="1"/>
  <c r="K674" i="1"/>
  <c r="J674" i="1"/>
  <c r="I674" i="1"/>
  <c r="H674" i="1"/>
  <c r="N673" i="1"/>
  <c r="M673" i="1"/>
  <c r="L673" i="1"/>
  <c r="K673" i="1"/>
  <c r="J673" i="1"/>
  <c r="I673" i="1"/>
  <c r="H673" i="1"/>
  <c r="N672" i="1"/>
  <c r="M672" i="1"/>
  <c r="L672" i="1"/>
  <c r="K672" i="1"/>
  <c r="J672" i="1"/>
  <c r="I672" i="1"/>
  <c r="H672" i="1"/>
  <c r="N671" i="1"/>
  <c r="M671" i="1"/>
  <c r="L671" i="1"/>
  <c r="K671" i="1"/>
  <c r="J671" i="1"/>
  <c r="I671" i="1"/>
  <c r="H671" i="1"/>
  <c r="N670" i="1"/>
  <c r="M670" i="1"/>
  <c r="L670" i="1"/>
  <c r="K670" i="1"/>
  <c r="J670" i="1"/>
  <c r="I670" i="1"/>
  <c r="H670" i="1"/>
  <c r="N669" i="1"/>
  <c r="M669" i="1"/>
  <c r="L669" i="1"/>
  <c r="K669" i="1"/>
  <c r="J669" i="1"/>
  <c r="I669" i="1"/>
  <c r="H669" i="1"/>
  <c r="N668" i="1"/>
  <c r="M668" i="1"/>
  <c r="L668" i="1"/>
  <c r="K668" i="1"/>
  <c r="J668" i="1"/>
  <c r="I668" i="1"/>
  <c r="H668" i="1"/>
  <c r="N667" i="1"/>
  <c r="M667" i="1"/>
  <c r="L667" i="1"/>
  <c r="K667" i="1"/>
  <c r="J667" i="1"/>
  <c r="O667" i="1" s="1"/>
  <c r="I667" i="1"/>
  <c r="H667" i="1"/>
  <c r="N666" i="1"/>
  <c r="M666" i="1"/>
  <c r="L666" i="1"/>
  <c r="K666" i="1"/>
  <c r="J666" i="1"/>
  <c r="O666" i="1" s="1"/>
  <c r="I666" i="1"/>
  <c r="H666" i="1"/>
  <c r="N665" i="1"/>
  <c r="M665" i="1"/>
  <c r="L665" i="1"/>
  <c r="K665" i="1"/>
  <c r="J665" i="1"/>
  <c r="I665" i="1"/>
  <c r="H665" i="1"/>
  <c r="N664" i="1"/>
  <c r="M664" i="1"/>
  <c r="L664" i="1"/>
  <c r="K664" i="1"/>
  <c r="J664" i="1"/>
  <c r="I664" i="1"/>
  <c r="H664" i="1"/>
  <c r="N663" i="1"/>
  <c r="M663" i="1"/>
  <c r="L663" i="1"/>
  <c r="K663" i="1"/>
  <c r="J663" i="1"/>
  <c r="I663" i="1"/>
  <c r="H663" i="1"/>
  <c r="N662" i="1"/>
  <c r="M662" i="1"/>
  <c r="L662" i="1"/>
  <c r="K662" i="1"/>
  <c r="J662" i="1"/>
  <c r="I662" i="1"/>
  <c r="H662" i="1"/>
  <c r="N661" i="1"/>
  <c r="M661" i="1"/>
  <c r="L661" i="1"/>
  <c r="K661" i="1"/>
  <c r="J661" i="1"/>
  <c r="O661" i="1" s="1"/>
  <c r="I661" i="1"/>
  <c r="H661" i="1"/>
  <c r="N660" i="1"/>
  <c r="M660" i="1"/>
  <c r="L660" i="1"/>
  <c r="K660" i="1"/>
  <c r="J660" i="1"/>
  <c r="I660" i="1"/>
  <c r="H660" i="1"/>
  <c r="N659" i="1"/>
  <c r="M659" i="1"/>
  <c r="L659" i="1"/>
  <c r="K659" i="1"/>
  <c r="J659" i="1"/>
  <c r="I659" i="1"/>
  <c r="H659" i="1"/>
  <c r="N658" i="1"/>
  <c r="M658" i="1"/>
  <c r="L658" i="1"/>
  <c r="K658" i="1"/>
  <c r="J658" i="1"/>
  <c r="O658" i="1" s="1"/>
  <c r="I658" i="1"/>
  <c r="H658" i="1"/>
  <c r="N657" i="1"/>
  <c r="M657" i="1"/>
  <c r="L657" i="1"/>
  <c r="K657" i="1"/>
  <c r="J657" i="1"/>
  <c r="I657" i="1"/>
  <c r="H657" i="1"/>
  <c r="N656" i="1"/>
  <c r="M656" i="1"/>
  <c r="L656" i="1"/>
  <c r="K656" i="1"/>
  <c r="J656" i="1"/>
  <c r="I656" i="1"/>
  <c r="H656" i="1"/>
  <c r="N655" i="1"/>
  <c r="M655" i="1"/>
  <c r="L655" i="1"/>
  <c r="K655" i="1"/>
  <c r="J655" i="1"/>
  <c r="I655" i="1"/>
  <c r="H655" i="1"/>
  <c r="N654" i="1"/>
  <c r="M654" i="1"/>
  <c r="L654" i="1"/>
  <c r="K654" i="1"/>
  <c r="J654" i="1"/>
  <c r="I654" i="1"/>
  <c r="H654" i="1"/>
  <c r="N653" i="1"/>
  <c r="M653" i="1"/>
  <c r="L653" i="1"/>
  <c r="K653" i="1"/>
  <c r="J653" i="1"/>
  <c r="I653" i="1"/>
  <c r="H653" i="1"/>
  <c r="N652" i="1"/>
  <c r="M652" i="1"/>
  <c r="L652" i="1"/>
  <c r="K652" i="1"/>
  <c r="J652" i="1"/>
  <c r="I652" i="1"/>
  <c r="H652" i="1"/>
  <c r="N651" i="1"/>
  <c r="M651" i="1"/>
  <c r="L651" i="1"/>
  <c r="K651" i="1"/>
  <c r="J651" i="1"/>
  <c r="I651" i="1"/>
  <c r="H651" i="1"/>
  <c r="N650" i="1"/>
  <c r="M650" i="1"/>
  <c r="L650" i="1"/>
  <c r="K650" i="1"/>
  <c r="J650" i="1"/>
  <c r="O650" i="1" s="1"/>
  <c r="I650" i="1"/>
  <c r="H650" i="1"/>
  <c r="N649" i="1"/>
  <c r="M649" i="1"/>
  <c r="L649" i="1"/>
  <c r="K649" i="1"/>
  <c r="J649" i="1"/>
  <c r="O649" i="1" s="1"/>
  <c r="I649" i="1"/>
  <c r="H649" i="1"/>
  <c r="N648" i="1"/>
  <c r="M648" i="1"/>
  <c r="L648" i="1"/>
  <c r="K648" i="1"/>
  <c r="J648" i="1"/>
  <c r="I648" i="1"/>
  <c r="H648" i="1"/>
  <c r="N647" i="1"/>
  <c r="M647" i="1"/>
  <c r="L647" i="1"/>
  <c r="K647" i="1"/>
  <c r="J647" i="1"/>
  <c r="I647" i="1"/>
  <c r="H647" i="1"/>
  <c r="N646" i="1"/>
  <c r="M646" i="1"/>
  <c r="L646" i="1"/>
  <c r="K646" i="1"/>
  <c r="J646" i="1"/>
  <c r="I646" i="1"/>
  <c r="H646" i="1"/>
  <c r="N645" i="1"/>
  <c r="M645" i="1"/>
  <c r="L645" i="1"/>
  <c r="K645" i="1"/>
  <c r="J645" i="1"/>
  <c r="I645" i="1"/>
  <c r="H645" i="1"/>
  <c r="N644" i="1"/>
  <c r="M644" i="1"/>
  <c r="L644" i="1"/>
  <c r="K644" i="1"/>
  <c r="J644" i="1"/>
  <c r="I644" i="1"/>
  <c r="H644" i="1"/>
  <c r="N643" i="1"/>
  <c r="M643" i="1"/>
  <c r="L643" i="1"/>
  <c r="K643" i="1"/>
  <c r="J643" i="1"/>
  <c r="I643" i="1"/>
  <c r="H643" i="1"/>
  <c r="N642" i="1"/>
  <c r="M642" i="1"/>
  <c r="L642" i="1"/>
  <c r="K642" i="1"/>
  <c r="J642" i="1"/>
  <c r="O642" i="1" s="1"/>
  <c r="I642" i="1"/>
  <c r="H642" i="1"/>
  <c r="N641" i="1"/>
  <c r="M641" i="1"/>
  <c r="L641" i="1"/>
  <c r="K641" i="1"/>
  <c r="J641" i="1"/>
  <c r="I641" i="1"/>
  <c r="H641" i="1"/>
  <c r="N640" i="1"/>
  <c r="M640" i="1"/>
  <c r="L640" i="1"/>
  <c r="K640" i="1"/>
  <c r="J640" i="1"/>
  <c r="I640" i="1"/>
  <c r="H640" i="1"/>
  <c r="N639" i="1"/>
  <c r="M639" i="1"/>
  <c r="L639" i="1"/>
  <c r="K639" i="1"/>
  <c r="J639" i="1"/>
  <c r="I639" i="1"/>
  <c r="H639" i="1"/>
  <c r="N638" i="1"/>
  <c r="M638" i="1"/>
  <c r="L638" i="1"/>
  <c r="K638" i="1"/>
  <c r="J638" i="1"/>
  <c r="O638" i="1" s="1"/>
  <c r="I638" i="1"/>
  <c r="H638" i="1"/>
  <c r="N637" i="1"/>
  <c r="M637" i="1"/>
  <c r="L637" i="1"/>
  <c r="K637" i="1"/>
  <c r="J637" i="1"/>
  <c r="O637" i="1" s="1"/>
  <c r="I637" i="1"/>
  <c r="H637" i="1"/>
  <c r="N636" i="1"/>
  <c r="M636" i="1"/>
  <c r="L636" i="1"/>
  <c r="K636" i="1"/>
  <c r="J636" i="1"/>
  <c r="I636" i="1"/>
  <c r="H636" i="1"/>
  <c r="N635" i="1"/>
  <c r="M635" i="1"/>
  <c r="L635" i="1"/>
  <c r="K635" i="1"/>
  <c r="J635" i="1"/>
  <c r="I635" i="1"/>
  <c r="H635" i="1"/>
  <c r="N634" i="1"/>
  <c r="M634" i="1"/>
  <c r="L634" i="1"/>
  <c r="K634" i="1"/>
  <c r="J634" i="1"/>
  <c r="O634" i="1" s="1"/>
  <c r="I634" i="1"/>
  <c r="H634" i="1"/>
  <c r="N633" i="1"/>
  <c r="M633" i="1"/>
  <c r="L633" i="1"/>
  <c r="K633" i="1"/>
  <c r="J633" i="1"/>
  <c r="I633" i="1"/>
  <c r="H633" i="1"/>
  <c r="N631" i="1"/>
  <c r="M631" i="1"/>
  <c r="L631" i="1"/>
  <c r="K631" i="1"/>
  <c r="J631" i="1"/>
  <c r="I631" i="1"/>
  <c r="H631" i="1"/>
  <c r="N630" i="1"/>
  <c r="M630" i="1"/>
  <c r="L630" i="1"/>
  <c r="K630" i="1"/>
  <c r="J630" i="1"/>
  <c r="I630" i="1"/>
  <c r="H630" i="1"/>
  <c r="N629" i="1"/>
  <c r="M629" i="1"/>
  <c r="L629" i="1"/>
  <c r="K629" i="1"/>
  <c r="J629" i="1"/>
  <c r="I629" i="1"/>
  <c r="H629" i="1"/>
  <c r="N628" i="1"/>
  <c r="M628" i="1"/>
  <c r="L628" i="1"/>
  <c r="K628" i="1"/>
  <c r="J628" i="1"/>
  <c r="I628" i="1"/>
  <c r="H628" i="1"/>
  <c r="N627" i="1"/>
  <c r="M627" i="1"/>
  <c r="L627" i="1"/>
  <c r="K627" i="1"/>
  <c r="J627" i="1"/>
  <c r="I627" i="1"/>
  <c r="H627" i="1"/>
  <c r="N626" i="1"/>
  <c r="M626" i="1"/>
  <c r="L626" i="1"/>
  <c r="K626" i="1"/>
  <c r="J626" i="1"/>
  <c r="I626" i="1"/>
  <c r="H626" i="1"/>
  <c r="N625" i="1"/>
  <c r="M625" i="1"/>
  <c r="L625" i="1"/>
  <c r="K625" i="1"/>
  <c r="J625" i="1"/>
  <c r="I625" i="1"/>
  <c r="H625" i="1"/>
  <c r="N624" i="1"/>
  <c r="M624" i="1"/>
  <c r="L624" i="1"/>
  <c r="K624" i="1"/>
  <c r="J624" i="1"/>
  <c r="I624" i="1"/>
  <c r="H624" i="1"/>
  <c r="N623" i="1"/>
  <c r="M623" i="1"/>
  <c r="L623" i="1"/>
  <c r="K623" i="1"/>
  <c r="J623" i="1"/>
  <c r="I623" i="1"/>
  <c r="H623" i="1"/>
  <c r="N622" i="1"/>
  <c r="M622" i="1"/>
  <c r="L622" i="1"/>
  <c r="K622" i="1"/>
  <c r="J622" i="1"/>
  <c r="I622" i="1"/>
  <c r="H622" i="1"/>
  <c r="N621" i="1"/>
  <c r="M621" i="1"/>
  <c r="L621" i="1"/>
  <c r="K621" i="1"/>
  <c r="J621" i="1"/>
  <c r="I621" i="1"/>
  <c r="H621" i="1"/>
  <c r="N620" i="1"/>
  <c r="M620" i="1"/>
  <c r="L620" i="1"/>
  <c r="K620" i="1"/>
  <c r="J620" i="1"/>
  <c r="I620" i="1"/>
  <c r="H620" i="1"/>
  <c r="N619" i="1"/>
  <c r="M619" i="1"/>
  <c r="L619" i="1"/>
  <c r="K619" i="1"/>
  <c r="J619" i="1"/>
  <c r="I619" i="1"/>
  <c r="H619" i="1"/>
  <c r="N618" i="1"/>
  <c r="M618" i="1"/>
  <c r="L618" i="1"/>
  <c r="K618" i="1"/>
  <c r="J618" i="1"/>
  <c r="I618" i="1"/>
  <c r="H618" i="1"/>
  <c r="N617" i="1"/>
  <c r="M617" i="1"/>
  <c r="L617" i="1"/>
  <c r="K617" i="1"/>
  <c r="J617" i="1"/>
  <c r="I617" i="1"/>
  <c r="H617" i="1"/>
  <c r="N616" i="1"/>
  <c r="M616" i="1"/>
  <c r="L616" i="1"/>
  <c r="K616" i="1"/>
  <c r="J616" i="1"/>
  <c r="I616" i="1"/>
  <c r="H616" i="1"/>
  <c r="N615" i="1"/>
  <c r="M615" i="1"/>
  <c r="L615" i="1"/>
  <c r="K615" i="1"/>
  <c r="J615" i="1"/>
  <c r="I615" i="1"/>
  <c r="H615" i="1"/>
  <c r="N614" i="1"/>
  <c r="M614" i="1"/>
  <c r="L614" i="1"/>
  <c r="K614" i="1"/>
  <c r="J614" i="1"/>
  <c r="I614" i="1"/>
  <c r="H614" i="1"/>
  <c r="N613" i="1"/>
  <c r="M613" i="1"/>
  <c r="L613" i="1"/>
  <c r="K613" i="1"/>
  <c r="J613" i="1"/>
  <c r="I613" i="1"/>
  <c r="H613" i="1"/>
  <c r="N612" i="1"/>
  <c r="M612" i="1"/>
  <c r="L612" i="1"/>
  <c r="K612" i="1"/>
  <c r="J612" i="1"/>
  <c r="I612" i="1"/>
  <c r="H612" i="1"/>
  <c r="N611" i="1"/>
  <c r="M611" i="1"/>
  <c r="L611" i="1"/>
  <c r="K611" i="1"/>
  <c r="J611" i="1"/>
  <c r="I611" i="1"/>
  <c r="H611" i="1"/>
  <c r="N610" i="1"/>
  <c r="M610" i="1"/>
  <c r="L610" i="1"/>
  <c r="K610" i="1"/>
  <c r="J610" i="1"/>
  <c r="I610" i="1"/>
  <c r="H610" i="1"/>
  <c r="N609" i="1"/>
  <c r="M609" i="1"/>
  <c r="L609" i="1"/>
  <c r="K609" i="1"/>
  <c r="J609" i="1"/>
  <c r="I609" i="1"/>
  <c r="H609" i="1"/>
  <c r="N608" i="1"/>
  <c r="M608" i="1"/>
  <c r="L608" i="1"/>
  <c r="K608" i="1"/>
  <c r="J608" i="1"/>
  <c r="I608" i="1"/>
  <c r="H608" i="1"/>
  <c r="N607" i="1"/>
  <c r="M607" i="1"/>
  <c r="L607" i="1"/>
  <c r="K607" i="1"/>
  <c r="J607" i="1"/>
  <c r="I607" i="1"/>
  <c r="H607" i="1"/>
  <c r="N605" i="1"/>
  <c r="M605" i="1"/>
  <c r="L605" i="1"/>
  <c r="K605" i="1"/>
  <c r="J605" i="1"/>
  <c r="I605" i="1"/>
  <c r="H605" i="1"/>
  <c r="N604" i="1"/>
  <c r="M604" i="1"/>
  <c r="L604" i="1"/>
  <c r="K604" i="1"/>
  <c r="J604" i="1"/>
  <c r="O604" i="1" s="1"/>
  <c r="I604" i="1"/>
  <c r="H604" i="1"/>
  <c r="N603" i="1"/>
  <c r="M603" i="1"/>
  <c r="L603" i="1"/>
  <c r="K603" i="1"/>
  <c r="J603" i="1"/>
  <c r="I603" i="1"/>
  <c r="H603" i="1"/>
  <c r="N602" i="1"/>
  <c r="M602" i="1"/>
  <c r="L602" i="1"/>
  <c r="K602" i="1"/>
  <c r="J602" i="1"/>
  <c r="O602" i="1" s="1"/>
  <c r="I602" i="1"/>
  <c r="H602" i="1"/>
  <c r="N601" i="1"/>
  <c r="M601" i="1"/>
  <c r="L601" i="1"/>
  <c r="K601" i="1"/>
  <c r="J601" i="1"/>
  <c r="I601" i="1"/>
  <c r="H601" i="1"/>
  <c r="N600" i="1"/>
  <c r="M600" i="1"/>
  <c r="L600" i="1"/>
  <c r="K600" i="1"/>
  <c r="J600" i="1"/>
  <c r="I600" i="1"/>
  <c r="H600" i="1"/>
  <c r="N599" i="1"/>
  <c r="M599" i="1"/>
  <c r="L599" i="1"/>
  <c r="K599" i="1"/>
  <c r="J599" i="1"/>
  <c r="O599" i="1" s="1"/>
  <c r="I599" i="1"/>
  <c r="H599" i="1"/>
  <c r="N598" i="1"/>
  <c r="M598" i="1"/>
  <c r="L598" i="1"/>
  <c r="K598" i="1"/>
  <c r="J598" i="1"/>
  <c r="I598" i="1"/>
  <c r="H598" i="1"/>
  <c r="N597" i="1"/>
  <c r="M597" i="1"/>
  <c r="L597" i="1"/>
  <c r="K597" i="1"/>
  <c r="J597" i="1"/>
  <c r="O597" i="1" s="1"/>
  <c r="I597" i="1"/>
  <c r="H597" i="1"/>
  <c r="N596" i="1"/>
  <c r="M596" i="1"/>
  <c r="L596" i="1"/>
  <c r="K596" i="1"/>
  <c r="J596" i="1"/>
  <c r="I596" i="1"/>
  <c r="H596" i="1"/>
  <c r="N595" i="1"/>
  <c r="M595" i="1"/>
  <c r="L595" i="1"/>
  <c r="K595" i="1"/>
  <c r="J595" i="1"/>
  <c r="I595" i="1"/>
  <c r="H595" i="1"/>
  <c r="N594" i="1"/>
  <c r="M594" i="1"/>
  <c r="L594" i="1"/>
  <c r="K594" i="1"/>
  <c r="J594" i="1"/>
  <c r="O594" i="1" s="1"/>
  <c r="I594" i="1"/>
  <c r="H594" i="1"/>
  <c r="N593" i="1"/>
  <c r="M593" i="1"/>
  <c r="L593" i="1"/>
  <c r="K593" i="1"/>
  <c r="J593" i="1"/>
  <c r="I593" i="1"/>
  <c r="H593" i="1"/>
  <c r="N592" i="1"/>
  <c r="M592" i="1"/>
  <c r="L592" i="1"/>
  <c r="K592" i="1"/>
  <c r="J592" i="1"/>
  <c r="I592" i="1"/>
  <c r="H592" i="1"/>
  <c r="N591" i="1"/>
  <c r="M591" i="1"/>
  <c r="L591" i="1"/>
  <c r="K591" i="1"/>
  <c r="J591" i="1"/>
  <c r="O591" i="1" s="1"/>
  <c r="I591" i="1"/>
  <c r="H591" i="1"/>
  <c r="N590" i="1"/>
  <c r="M590" i="1"/>
  <c r="L590" i="1"/>
  <c r="K590" i="1"/>
  <c r="J590" i="1"/>
  <c r="O590" i="1" s="1"/>
  <c r="I590" i="1"/>
  <c r="H590" i="1"/>
  <c r="N589" i="1"/>
  <c r="M589" i="1"/>
  <c r="L589" i="1"/>
  <c r="K589" i="1"/>
  <c r="J589" i="1"/>
  <c r="O589" i="1" s="1"/>
  <c r="I589" i="1"/>
  <c r="H589" i="1"/>
  <c r="N588" i="1"/>
  <c r="M588" i="1"/>
  <c r="L588" i="1"/>
  <c r="K588" i="1"/>
  <c r="J588" i="1"/>
  <c r="I588" i="1"/>
  <c r="H588" i="1"/>
  <c r="N587" i="1"/>
  <c r="M587" i="1"/>
  <c r="L587" i="1"/>
  <c r="K587" i="1"/>
  <c r="J587" i="1"/>
  <c r="I587" i="1"/>
  <c r="H587" i="1"/>
  <c r="N584" i="1"/>
  <c r="M584" i="1"/>
  <c r="L584" i="1"/>
  <c r="K584" i="1"/>
  <c r="J584" i="1"/>
  <c r="I584" i="1"/>
  <c r="H584" i="1"/>
  <c r="N583" i="1"/>
  <c r="M583" i="1"/>
  <c r="L583" i="1"/>
  <c r="K583" i="1"/>
  <c r="J583" i="1"/>
  <c r="I583" i="1"/>
  <c r="H583" i="1"/>
  <c r="N582" i="1"/>
  <c r="M582" i="1"/>
  <c r="L582" i="1"/>
  <c r="K582" i="1"/>
  <c r="J582" i="1"/>
  <c r="I582" i="1"/>
  <c r="H582" i="1"/>
  <c r="H580" i="1" s="1"/>
  <c r="N581" i="1"/>
  <c r="M581" i="1"/>
  <c r="L581" i="1"/>
  <c r="K581" i="1"/>
  <c r="K580" i="1" s="1"/>
  <c r="J581" i="1"/>
  <c r="O581" i="1" s="1"/>
  <c r="I581" i="1"/>
  <c r="H581" i="1"/>
  <c r="L580" i="1"/>
  <c r="N579" i="1"/>
  <c r="M579" i="1"/>
  <c r="L579" i="1"/>
  <c r="K579" i="1"/>
  <c r="J579" i="1"/>
  <c r="O579" i="1" s="1"/>
  <c r="I579" i="1"/>
  <c r="H579" i="1"/>
  <c r="N578" i="1"/>
  <c r="M578" i="1"/>
  <c r="L578" i="1"/>
  <c r="K578" i="1"/>
  <c r="J578" i="1"/>
  <c r="O578" i="1" s="1"/>
  <c r="I578" i="1"/>
  <c r="H578" i="1"/>
  <c r="N577" i="1"/>
  <c r="M577" i="1"/>
  <c r="L577" i="1"/>
  <c r="K577" i="1"/>
  <c r="J577" i="1"/>
  <c r="I577" i="1"/>
  <c r="H577" i="1"/>
  <c r="N576" i="1"/>
  <c r="M576" i="1"/>
  <c r="L576" i="1"/>
  <c r="K576" i="1"/>
  <c r="J576" i="1"/>
  <c r="I576" i="1"/>
  <c r="H576" i="1"/>
  <c r="N574" i="1"/>
  <c r="M574" i="1"/>
  <c r="L574" i="1"/>
  <c r="K574" i="1"/>
  <c r="J574" i="1"/>
  <c r="I574" i="1"/>
  <c r="H574" i="1"/>
  <c r="N573" i="1"/>
  <c r="M573" i="1"/>
  <c r="L573" i="1"/>
  <c r="K573" i="1"/>
  <c r="J573" i="1"/>
  <c r="I573" i="1"/>
  <c r="H573" i="1"/>
  <c r="N572" i="1"/>
  <c r="M572" i="1"/>
  <c r="L572" i="1"/>
  <c r="K572" i="1"/>
  <c r="J572" i="1"/>
  <c r="I572" i="1"/>
  <c r="H572" i="1"/>
  <c r="N570" i="1"/>
  <c r="M570" i="1"/>
  <c r="L570" i="1"/>
  <c r="K570" i="1"/>
  <c r="J570" i="1"/>
  <c r="I570" i="1"/>
  <c r="H570" i="1"/>
  <c r="N569" i="1"/>
  <c r="M569" i="1"/>
  <c r="L569" i="1"/>
  <c r="K569" i="1"/>
  <c r="J569" i="1"/>
  <c r="O569" i="1" s="1"/>
  <c r="I569" i="1"/>
  <c r="H569" i="1"/>
  <c r="N568" i="1"/>
  <c r="M568" i="1"/>
  <c r="L568" i="1"/>
  <c r="K568" i="1"/>
  <c r="J568" i="1"/>
  <c r="I568" i="1"/>
  <c r="H568" i="1"/>
  <c r="N567" i="1"/>
  <c r="M567" i="1"/>
  <c r="L567" i="1"/>
  <c r="K567" i="1"/>
  <c r="J567" i="1"/>
  <c r="I567" i="1"/>
  <c r="H567" i="1"/>
  <c r="N566" i="1"/>
  <c r="N565" i="1" s="1"/>
  <c r="M566" i="1"/>
  <c r="L566" i="1"/>
  <c r="K566" i="1"/>
  <c r="J566" i="1"/>
  <c r="O566" i="1" s="1"/>
  <c r="I566" i="1"/>
  <c r="H566" i="1"/>
  <c r="N564" i="1"/>
  <c r="M564" i="1"/>
  <c r="L564" i="1"/>
  <c r="K564" i="1"/>
  <c r="J564" i="1"/>
  <c r="O564" i="1" s="1"/>
  <c r="I564" i="1"/>
  <c r="H564" i="1"/>
  <c r="N563" i="1"/>
  <c r="M563" i="1"/>
  <c r="L563" i="1"/>
  <c r="K563" i="1"/>
  <c r="J563" i="1"/>
  <c r="I563" i="1"/>
  <c r="H563" i="1"/>
  <c r="N562" i="1"/>
  <c r="M562" i="1"/>
  <c r="L562" i="1"/>
  <c r="K562" i="1"/>
  <c r="J562" i="1"/>
  <c r="I562" i="1"/>
  <c r="H562" i="1"/>
  <c r="N561" i="1"/>
  <c r="M561" i="1"/>
  <c r="L561" i="1"/>
  <c r="K561" i="1"/>
  <c r="J561" i="1"/>
  <c r="I561" i="1"/>
  <c r="H561" i="1"/>
  <c r="N560" i="1"/>
  <c r="M560" i="1"/>
  <c r="L560" i="1"/>
  <c r="K560" i="1"/>
  <c r="J560" i="1"/>
  <c r="I560" i="1"/>
  <c r="H560" i="1"/>
  <c r="N559" i="1"/>
  <c r="M559" i="1"/>
  <c r="L559" i="1"/>
  <c r="K559" i="1"/>
  <c r="J559" i="1"/>
  <c r="O559" i="1" s="1"/>
  <c r="I559" i="1"/>
  <c r="H559" i="1"/>
  <c r="N558" i="1"/>
  <c r="M558" i="1"/>
  <c r="L558" i="1"/>
  <c r="K558" i="1"/>
  <c r="J558" i="1"/>
  <c r="I558" i="1"/>
  <c r="H558" i="1"/>
  <c r="N557" i="1"/>
  <c r="M557" i="1"/>
  <c r="L557" i="1"/>
  <c r="K557" i="1"/>
  <c r="J557" i="1"/>
  <c r="I557" i="1"/>
  <c r="H557" i="1"/>
  <c r="N556" i="1"/>
  <c r="M556" i="1"/>
  <c r="L556" i="1"/>
  <c r="K556" i="1"/>
  <c r="J556" i="1"/>
  <c r="I556" i="1"/>
  <c r="H556" i="1"/>
  <c r="N555" i="1"/>
  <c r="M555" i="1"/>
  <c r="L555" i="1"/>
  <c r="K555" i="1"/>
  <c r="J555" i="1"/>
  <c r="O555" i="1" s="1"/>
  <c r="I555" i="1"/>
  <c r="H555" i="1"/>
  <c r="N554" i="1"/>
  <c r="M554" i="1"/>
  <c r="L554" i="1"/>
  <c r="K554" i="1"/>
  <c r="J554" i="1"/>
  <c r="I554" i="1"/>
  <c r="H554" i="1"/>
  <c r="N553" i="1"/>
  <c r="M553" i="1"/>
  <c r="L553" i="1"/>
  <c r="K553" i="1"/>
  <c r="J553" i="1"/>
  <c r="I553" i="1"/>
  <c r="H553" i="1"/>
  <c r="N552" i="1"/>
  <c r="M552" i="1"/>
  <c r="L552" i="1"/>
  <c r="K552" i="1"/>
  <c r="J552" i="1"/>
  <c r="O552" i="1" s="1"/>
  <c r="I552" i="1"/>
  <c r="H552" i="1"/>
  <c r="N551" i="1"/>
  <c r="M551" i="1"/>
  <c r="L551" i="1"/>
  <c r="K551" i="1"/>
  <c r="J551" i="1"/>
  <c r="I551" i="1"/>
  <c r="H551" i="1"/>
  <c r="N550" i="1"/>
  <c r="M550" i="1"/>
  <c r="L550" i="1"/>
  <c r="K550" i="1"/>
  <c r="J550" i="1"/>
  <c r="I550" i="1"/>
  <c r="H550" i="1"/>
  <c r="N549" i="1"/>
  <c r="M549" i="1"/>
  <c r="L549" i="1"/>
  <c r="K549" i="1"/>
  <c r="J549" i="1"/>
  <c r="I549" i="1"/>
  <c r="H549" i="1"/>
  <c r="N548" i="1"/>
  <c r="M548" i="1"/>
  <c r="L548" i="1"/>
  <c r="K548" i="1"/>
  <c r="J548" i="1"/>
  <c r="I548" i="1"/>
  <c r="H548" i="1"/>
  <c r="N547" i="1"/>
  <c r="M547" i="1"/>
  <c r="L547" i="1"/>
  <c r="K547" i="1"/>
  <c r="J547" i="1"/>
  <c r="O547" i="1" s="1"/>
  <c r="I547" i="1"/>
  <c r="H547" i="1"/>
  <c r="N546" i="1"/>
  <c r="M546" i="1"/>
  <c r="L546" i="1"/>
  <c r="K546" i="1"/>
  <c r="J546" i="1"/>
  <c r="I546" i="1"/>
  <c r="H546" i="1"/>
  <c r="N545" i="1"/>
  <c r="M545" i="1"/>
  <c r="L545" i="1"/>
  <c r="K545" i="1"/>
  <c r="J545" i="1"/>
  <c r="I545" i="1"/>
  <c r="H545" i="1"/>
  <c r="N544" i="1"/>
  <c r="M544" i="1"/>
  <c r="L544" i="1"/>
  <c r="K544" i="1"/>
  <c r="J544" i="1"/>
  <c r="I544" i="1"/>
  <c r="H544" i="1"/>
  <c r="N543" i="1"/>
  <c r="M543" i="1"/>
  <c r="L543" i="1"/>
  <c r="K543" i="1"/>
  <c r="J543" i="1"/>
  <c r="O543" i="1" s="1"/>
  <c r="I543" i="1"/>
  <c r="H543" i="1"/>
  <c r="N542" i="1"/>
  <c r="M542" i="1"/>
  <c r="L542" i="1"/>
  <c r="K542" i="1"/>
  <c r="J542" i="1"/>
  <c r="I542" i="1"/>
  <c r="H542" i="1"/>
  <c r="N541" i="1"/>
  <c r="M541" i="1"/>
  <c r="L541" i="1"/>
  <c r="K541" i="1"/>
  <c r="J541" i="1"/>
  <c r="I541" i="1"/>
  <c r="H541" i="1"/>
  <c r="N540" i="1"/>
  <c r="M540" i="1"/>
  <c r="L540" i="1"/>
  <c r="K540" i="1"/>
  <c r="J540" i="1"/>
  <c r="O540" i="1" s="1"/>
  <c r="I540" i="1"/>
  <c r="H540" i="1"/>
  <c r="N539" i="1"/>
  <c r="M539" i="1"/>
  <c r="L539" i="1"/>
  <c r="K539" i="1"/>
  <c r="J539" i="1"/>
  <c r="I539" i="1"/>
  <c r="H539" i="1"/>
  <c r="N538" i="1"/>
  <c r="M538" i="1"/>
  <c r="L538" i="1"/>
  <c r="K538" i="1"/>
  <c r="J538" i="1"/>
  <c r="I538" i="1"/>
  <c r="H538" i="1"/>
  <c r="N537" i="1"/>
  <c r="M537" i="1"/>
  <c r="L537" i="1"/>
  <c r="K537" i="1"/>
  <c r="J537" i="1"/>
  <c r="I537" i="1"/>
  <c r="H537" i="1"/>
  <c r="N536" i="1"/>
  <c r="M536" i="1"/>
  <c r="L536" i="1"/>
  <c r="K536" i="1"/>
  <c r="J536" i="1"/>
  <c r="I536" i="1"/>
  <c r="H536" i="1"/>
  <c r="N535" i="1"/>
  <c r="M535" i="1"/>
  <c r="L535" i="1"/>
  <c r="K535" i="1"/>
  <c r="J535" i="1"/>
  <c r="O535" i="1" s="1"/>
  <c r="I535" i="1"/>
  <c r="H535" i="1"/>
  <c r="N534" i="1"/>
  <c r="M534" i="1"/>
  <c r="L534" i="1"/>
  <c r="K534" i="1"/>
  <c r="J534" i="1"/>
  <c r="I534" i="1"/>
  <c r="H534" i="1"/>
  <c r="N533" i="1"/>
  <c r="M533" i="1"/>
  <c r="L533" i="1"/>
  <c r="K533" i="1"/>
  <c r="J533" i="1"/>
  <c r="I533" i="1"/>
  <c r="H533" i="1"/>
  <c r="N532" i="1"/>
  <c r="M532" i="1"/>
  <c r="L532" i="1"/>
  <c r="K532" i="1"/>
  <c r="J532" i="1"/>
  <c r="I532" i="1"/>
  <c r="H532" i="1"/>
  <c r="N531" i="1"/>
  <c r="M531" i="1"/>
  <c r="L531" i="1"/>
  <c r="K531" i="1"/>
  <c r="J531" i="1"/>
  <c r="O531" i="1" s="1"/>
  <c r="I531" i="1"/>
  <c r="H531" i="1"/>
  <c r="N530" i="1"/>
  <c r="M530" i="1"/>
  <c r="L530" i="1"/>
  <c r="K530" i="1"/>
  <c r="J530" i="1"/>
  <c r="I530" i="1"/>
  <c r="H530" i="1"/>
  <c r="N529" i="1"/>
  <c r="M529" i="1"/>
  <c r="L529" i="1"/>
  <c r="K529" i="1"/>
  <c r="J529" i="1"/>
  <c r="I529" i="1"/>
  <c r="H529" i="1"/>
  <c r="N528" i="1"/>
  <c r="M528" i="1"/>
  <c r="L528" i="1"/>
  <c r="K528" i="1"/>
  <c r="J528" i="1"/>
  <c r="O528" i="1" s="1"/>
  <c r="I528" i="1"/>
  <c r="H528" i="1"/>
  <c r="N527" i="1"/>
  <c r="M527" i="1"/>
  <c r="L527" i="1"/>
  <c r="K527" i="1"/>
  <c r="J527" i="1"/>
  <c r="I527" i="1"/>
  <c r="H527" i="1"/>
  <c r="N526" i="1"/>
  <c r="M526" i="1"/>
  <c r="L526" i="1"/>
  <c r="K526" i="1"/>
  <c r="J526" i="1"/>
  <c r="I526" i="1"/>
  <c r="H526" i="1"/>
  <c r="N525" i="1"/>
  <c r="M525" i="1"/>
  <c r="L525" i="1"/>
  <c r="K525" i="1"/>
  <c r="J525" i="1"/>
  <c r="I525" i="1"/>
  <c r="H525" i="1"/>
  <c r="N524" i="1"/>
  <c r="M524" i="1"/>
  <c r="L524" i="1"/>
  <c r="K524" i="1"/>
  <c r="J524" i="1"/>
  <c r="I524" i="1"/>
  <c r="H524" i="1"/>
  <c r="N523" i="1"/>
  <c r="M523" i="1"/>
  <c r="L523" i="1"/>
  <c r="K523" i="1"/>
  <c r="J523" i="1"/>
  <c r="O523" i="1" s="1"/>
  <c r="I523" i="1"/>
  <c r="H523" i="1"/>
  <c r="N522" i="1"/>
  <c r="M522" i="1"/>
  <c r="L522" i="1"/>
  <c r="K522" i="1"/>
  <c r="J522" i="1"/>
  <c r="I522" i="1"/>
  <c r="H522" i="1"/>
  <c r="N521" i="1"/>
  <c r="M521" i="1"/>
  <c r="L521" i="1"/>
  <c r="K521" i="1"/>
  <c r="J521" i="1"/>
  <c r="I521" i="1"/>
  <c r="H521" i="1"/>
  <c r="N520" i="1"/>
  <c r="M520" i="1"/>
  <c r="L520" i="1"/>
  <c r="K520" i="1"/>
  <c r="J520" i="1"/>
  <c r="I520" i="1"/>
  <c r="H520" i="1"/>
  <c r="N519" i="1"/>
  <c r="M519" i="1"/>
  <c r="L519" i="1"/>
  <c r="K519" i="1"/>
  <c r="J519" i="1"/>
  <c r="I519" i="1"/>
  <c r="H519" i="1"/>
  <c r="N518" i="1"/>
  <c r="M518" i="1"/>
  <c r="L518" i="1"/>
  <c r="K518" i="1"/>
  <c r="J518" i="1"/>
  <c r="I518" i="1"/>
  <c r="H518" i="1"/>
  <c r="N517" i="1"/>
  <c r="M517" i="1"/>
  <c r="L517" i="1"/>
  <c r="K517" i="1"/>
  <c r="J517" i="1"/>
  <c r="I517" i="1"/>
  <c r="H517" i="1"/>
  <c r="N516" i="1"/>
  <c r="M516" i="1"/>
  <c r="L516" i="1"/>
  <c r="K516" i="1"/>
  <c r="J516" i="1"/>
  <c r="O516" i="1" s="1"/>
  <c r="I516" i="1"/>
  <c r="H516" i="1"/>
  <c r="N515" i="1"/>
  <c r="M515" i="1"/>
  <c r="L515" i="1"/>
  <c r="K515" i="1"/>
  <c r="J515" i="1"/>
  <c r="I515" i="1"/>
  <c r="H515" i="1"/>
  <c r="N513" i="1"/>
  <c r="M513" i="1"/>
  <c r="L513" i="1"/>
  <c r="K513" i="1"/>
  <c r="J513" i="1"/>
  <c r="I513" i="1"/>
  <c r="H513" i="1"/>
  <c r="N512" i="1"/>
  <c r="M512" i="1"/>
  <c r="L512" i="1"/>
  <c r="K512" i="1"/>
  <c r="J512" i="1"/>
  <c r="I512" i="1"/>
  <c r="H512" i="1"/>
  <c r="N511" i="1"/>
  <c r="M511" i="1"/>
  <c r="L511" i="1"/>
  <c r="K511" i="1"/>
  <c r="J511" i="1"/>
  <c r="I511" i="1"/>
  <c r="H511" i="1"/>
  <c r="N510" i="1"/>
  <c r="M510" i="1"/>
  <c r="L510" i="1"/>
  <c r="K510" i="1"/>
  <c r="J510" i="1"/>
  <c r="I510" i="1"/>
  <c r="H510" i="1"/>
  <c r="N509" i="1"/>
  <c r="M509" i="1"/>
  <c r="L509" i="1"/>
  <c r="K509" i="1"/>
  <c r="J509" i="1"/>
  <c r="I509" i="1"/>
  <c r="H509" i="1"/>
  <c r="N508" i="1"/>
  <c r="M508" i="1"/>
  <c r="L508" i="1"/>
  <c r="K508" i="1"/>
  <c r="J508" i="1"/>
  <c r="O508" i="1" s="1"/>
  <c r="I508" i="1"/>
  <c r="H508" i="1"/>
  <c r="N507" i="1"/>
  <c r="M507" i="1"/>
  <c r="L507" i="1"/>
  <c r="K507" i="1"/>
  <c r="J507" i="1"/>
  <c r="I507" i="1"/>
  <c r="H507" i="1"/>
  <c r="N506" i="1"/>
  <c r="M506" i="1"/>
  <c r="L506" i="1"/>
  <c r="K506" i="1"/>
  <c r="J506" i="1"/>
  <c r="I506" i="1"/>
  <c r="H506" i="1"/>
  <c r="N505" i="1"/>
  <c r="M505" i="1"/>
  <c r="L505" i="1"/>
  <c r="K505" i="1"/>
  <c r="J505" i="1"/>
  <c r="I505" i="1"/>
  <c r="H505" i="1"/>
  <c r="N504" i="1"/>
  <c r="M504" i="1"/>
  <c r="L504" i="1"/>
  <c r="K504" i="1"/>
  <c r="J504" i="1"/>
  <c r="I504" i="1"/>
  <c r="H504" i="1"/>
  <c r="N503" i="1"/>
  <c r="M503" i="1"/>
  <c r="L503" i="1"/>
  <c r="K503" i="1"/>
  <c r="J503" i="1"/>
  <c r="I503" i="1"/>
  <c r="H503" i="1"/>
  <c r="N502" i="1"/>
  <c r="M502" i="1"/>
  <c r="L502" i="1"/>
  <c r="K502" i="1"/>
  <c r="J502" i="1"/>
  <c r="O502" i="1" s="1"/>
  <c r="I502" i="1"/>
  <c r="H502" i="1"/>
  <c r="N501" i="1"/>
  <c r="M501" i="1"/>
  <c r="L501" i="1"/>
  <c r="K501" i="1"/>
  <c r="J501" i="1"/>
  <c r="I501" i="1"/>
  <c r="H501" i="1"/>
  <c r="N500" i="1"/>
  <c r="M500" i="1"/>
  <c r="L500" i="1"/>
  <c r="K500" i="1"/>
  <c r="J500" i="1"/>
  <c r="I500" i="1"/>
  <c r="H500" i="1"/>
  <c r="N499" i="1"/>
  <c r="M499" i="1"/>
  <c r="L499" i="1"/>
  <c r="K499" i="1"/>
  <c r="J499" i="1"/>
  <c r="I499" i="1"/>
  <c r="H499" i="1"/>
  <c r="N498" i="1"/>
  <c r="M498" i="1"/>
  <c r="L498" i="1"/>
  <c r="K498" i="1"/>
  <c r="J498" i="1"/>
  <c r="I498" i="1"/>
  <c r="H498" i="1"/>
  <c r="N497" i="1"/>
  <c r="M497" i="1"/>
  <c r="L497" i="1"/>
  <c r="K497" i="1"/>
  <c r="J497" i="1"/>
  <c r="I497" i="1"/>
  <c r="H497" i="1"/>
  <c r="N496" i="1"/>
  <c r="M496" i="1"/>
  <c r="L496" i="1"/>
  <c r="K496" i="1"/>
  <c r="J496" i="1"/>
  <c r="I496" i="1"/>
  <c r="H496" i="1"/>
  <c r="N495" i="1"/>
  <c r="M495" i="1"/>
  <c r="L495" i="1"/>
  <c r="K495" i="1"/>
  <c r="J495" i="1"/>
  <c r="I495" i="1"/>
  <c r="H495" i="1"/>
  <c r="N494" i="1"/>
  <c r="M494" i="1"/>
  <c r="L494" i="1"/>
  <c r="K494" i="1"/>
  <c r="J494" i="1"/>
  <c r="I494" i="1"/>
  <c r="H494" i="1"/>
  <c r="N493" i="1"/>
  <c r="M493" i="1"/>
  <c r="L493" i="1"/>
  <c r="K493" i="1"/>
  <c r="J493" i="1"/>
  <c r="O493" i="1" s="1"/>
  <c r="I493" i="1"/>
  <c r="H493" i="1"/>
  <c r="N492" i="1"/>
  <c r="M492" i="1"/>
  <c r="L492" i="1"/>
  <c r="K492" i="1"/>
  <c r="J492" i="1"/>
  <c r="I492" i="1"/>
  <c r="H492" i="1"/>
  <c r="N491" i="1"/>
  <c r="M491" i="1"/>
  <c r="L491" i="1"/>
  <c r="K491" i="1"/>
  <c r="J491" i="1"/>
  <c r="I491" i="1"/>
  <c r="H491" i="1"/>
  <c r="N490" i="1"/>
  <c r="M490" i="1"/>
  <c r="L490" i="1"/>
  <c r="K490" i="1"/>
  <c r="J490" i="1"/>
  <c r="O490" i="1" s="1"/>
  <c r="I490" i="1"/>
  <c r="H490" i="1"/>
  <c r="N489" i="1"/>
  <c r="M489" i="1"/>
  <c r="L489" i="1"/>
  <c r="K489" i="1"/>
  <c r="J489" i="1"/>
  <c r="O489" i="1" s="1"/>
  <c r="I489" i="1"/>
  <c r="H489" i="1"/>
  <c r="N487" i="1"/>
  <c r="M487" i="1"/>
  <c r="L487" i="1"/>
  <c r="K487" i="1"/>
  <c r="J487" i="1"/>
  <c r="I487" i="1"/>
  <c r="H487" i="1"/>
  <c r="N486" i="1"/>
  <c r="M486" i="1"/>
  <c r="L486" i="1"/>
  <c r="K486" i="1"/>
  <c r="J486" i="1"/>
  <c r="I486" i="1"/>
  <c r="H486" i="1"/>
  <c r="N485" i="1"/>
  <c r="M485" i="1"/>
  <c r="L485" i="1"/>
  <c r="K485" i="1"/>
  <c r="J485" i="1"/>
  <c r="O485" i="1" s="1"/>
  <c r="I485" i="1"/>
  <c r="H485" i="1"/>
  <c r="N484" i="1"/>
  <c r="M484" i="1"/>
  <c r="L484" i="1"/>
  <c r="K484" i="1"/>
  <c r="J484" i="1"/>
  <c r="O484" i="1" s="1"/>
  <c r="I484" i="1"/>
  <c r="H484" i="1"/>
  <c r="N483" i="1"/>
  <c r="M483" i="1"/>
  <c r="L483" i="1"/>
  <c r="K483" i="1"/>
  <c r="J483" i="1"/>
  <c r="I483" i="1"/>
  <c r="H483" i="1"/>
  <c r="N482" i="1"/>
  <c r="M482" i="1"/>
  <c r="L482" i="1"/>
  <c r="K482" i="1"/>
  <c r="J482" i="1"/>
  <c r="I482" i="1"/>
  <c r="H482" i="1"/>
  <c r="N481" i="1"/>
  <c r="M481" i="1"/>
  <c r="L481" i="1"/>
  <c r="K481" i="1"/>
  <c r="J481" i="1"/>
  <c r="I481" i="1"/>
  <c r="H481" i="1"/>
  <c r="N480" i="1"/>
  <c r="M480" i="1"/>
  <c r="L480" i="1"/>
  <c r="K480" i="1"/>
  <c r="J480" i="1"/>
  <c r="O480" i="1" s="1"/>
  <c r="I480" i="1"/>
  <c r="H480" i="1"/>
  <c r="N479" i="1"/>
  <c r="M479" i="1"/>
  <c r="L479" i="1"/>
  <c r="K479" i="1"/>
  <c r="J479" i="1"/>
  <c r="I479" i="1"/>
  <c r="H479" i="1"/>
  <c r="N478" i="1"/>
  <c r="M478" i="1"/>
  <c r="L478" i="1"/>
  <c r="K478" i="1"/>
  <c r="J478" i="1"/>
  <c r="I478" i="1"/>
  <c r="H478" i="1"/>
  <c r="N477" i="1"/>
  <c r="M477" i="1"/>
  <c r="L477" i="1"/>
  <c r="K477" i="1"/>
  <c r="J477" i="1"/>
  <c r="O477" i="1" s="1"/>
  <c r="I477" i="1"/>
  <c r="H477" i="1"/>
  <c r="N476" i="1"/>
  <c r="M476" i="1"/>
  <c r="L476" i="1"/>
  <c r="K476" i="1"/>
  <c r="J476" i="1"/>
  <c r="I476" i="1"/>
  <c r="H476" i="1"/>
  <c r="N475" i="1"/>
  <c r="M475" i="1"/>
  <c r="L475" i="1"/>
  <c r="K475" i="1"/>
  <c r="J475" i="1"/>
  <c r="I475" i="1"/>
  <c r="H475" i="1"/>
  <c r="N474" i="1"/>
  <c r="M474" i="1"/>
  <c r="L474" i="1"/>
  <c r="K474" i="1"/>
  <c r="J474" i="1"/>
  <c r="I474" i="1"/>
  <c r="H474" i="1"/>
  <c r="N473" i="1"/>
  <c r="M473" i="1"/>
  <c r="L473" i="1"/>
  <c r="K473" i="1"/>
  <c r="J473" i="1"/>
  <c r="O473" i="1" s="1"/>
  <c r="I473" i="1"/>
  <c r="H473" i="1"/>
  <c r="N472" i="1"/>
  <c r="M472" i="1"/>
  <c r="L472" i="1"/>
  <c r="K472" i="1"/>
  <c r="J472" i="1"/>
  <c r="O472" i="1" s="1"/>
  <c r="I472" i="1"/>
  <c r="H472" i="1"/>
  <c r="N471" i="1"/>
  <c r="M471" i="1"/>
  <c r="L471" i="1"/>
  <c r="K471" i="1"/>
  <c r="J471" i="1"/>
  <c r="I471" i="1"/>
  <c r="H471" i="1"/>
  <c r="N470" i="1"/>
  <c r="M470" i="1"/>
  <c r="L470" i="1"/>
  <c r="K470" i="1"/>
  <c r="J470" i="1"/>
  <c r="I470" i="1"/>
  <c r="H470" i="1"/>
  <c r="N469" i="1"/>
  <c r="M469" i="1"/>
  <c r="L469" i="1"/>
  <c r="K469" i="1"/>
  <c r="J469" i="1"/>
  <c r="I469" i="1"/>
  <c r="H469" i="1"/>
  <c r="N466" i="1"/>
  <c r="M466" i="1"/>
  <c r="L466" i="1"/>
  <c r="K466" i="1"/>
  <c r="J466" i="1"/>
  <c r="I466" i="1"/>
  <c r="H466" i="1"/>
  <c r="N465" i="1"/>
  <c r="M465" i="1"/>
  <c r="L465" i="1"/>
  <c r="K465" i="1"/>
  <c r="J465" i="1"/>
  <c r="I465" i="1"/>
  <c r="H465" i="1"/>
  <c r="N464" i="1"/>
  <c r="M464" i="1"/>
  <c r="L464" i="1"/>
  <c r="K464" i="1"/>
  <c r="J464" i="1"/>
  <c r="I464" i="1"/>
  <c r="H464" i="1"/>
  <c r="N463" i="1"/>
  <c r="M463" i="1"/>
  <c r="M462" i="1" s="1"/>
  <c r="L463" i="1"/>
  <c r="K463" i="1"/>
  <c r="J463" i="1"/>
  <c r="I463" i="1"/>
  <c r="H463" i="1"/>
  <c r="N461" i="1"/>
  <c r="M461" i="1"/>
  <c r="L461" i="1"/>
  <c r="K461" i="1"/>
  <c r="J461" i="1"/>
  <c r="I461" i="1"/>
  <c r="H461" i="1"/>
  <c r="N460" i="1"/>
  <c r="M460" i="1"/>
  <c r="L460" i="1"/>
  <c r="K460" i="1"/>
  <c r="J460" i="1"/>
  <c r="I460" i="1"/>
  <c r="H460" i="1"/>
  <c r="N459" i="1"/>
  <c r="M459" i="1"/>
  <c r="L459" i="1"/>
  <c r="K459" i="1"/>
  <c r="J459" i="1"/>
  <c r="I459" i="1"/>
  <c r="H459" i="1"/>
  <c r="N458" i="1"/>
  <c r="M458" i="1"/>
  <c r="L458" i="1"/>
  <c r="K458" i="1"/>
  <c r="J458" i="1"/>
  <c r="I458" i="1"/>
  <c r="H458" i="1"/>
  <c r="N457" i="1"/>
  <c r="M457" i="1"/>
  <c r="L457" i="1"/>
  <c r="K457" i="1"/>
  <c r="J457" i="1"/>
  <c r="I457" i="1"/>
  <c r="H457" i="1"/>
  <c r="N456" i="1"/>
  <c r="M456" i="1"/>
  <c r="L456" i="1"/>
  <c r="K456" i="1"/>
  <c r="J456" i="1"/>
  <c r="I456" i="1"/>
  <c r="H456" i="1"/>
  <c r="N455" i="1"/>
  <c r="M455" i="1"/>
  <c r="L455" i="1"/>
  <c r="K455" i="1"/>
  <c r="J455" i="1"/>
  <c r="I455" i="1"/>
  <c r="H455" i="1"/>
  <c r="N454" i="1"/>
  <c r="M454" i="1"/>
  <c r="L454" i="1"/>
  <c r="K454" i="1"/>
  <c r="J454" i="1"/>
  <c r="I454" i="1"/>
  <c r="H454" i="1"/>
  <c r="N453" i="1"/>
  <c r="M453" i="1"/>
  <c r="L453" i="1"/>
  <c r="K453" i="1"/>
  <c r="J453" i="1"/>
  <c r="I453" i="1"/>
  <c r="H453" i="1"/>
  <c r="N452" i="1"/>
  <c r="M452" i="1"/>
  <c r="L452" i="1"/>
  <c r="K452" i="1"/>
  <c r="J452" i="1"/>
  <c r="I452" i="1"/>
  <c r="H452" i="1"/>
  <c r="N451" i="1"/>
  <c r="M451" i="1"/>
  <c r="L451" i="1"/>
  <c r="K451" i="1"/>
  <c r="K450" i="1" s="1"/>
  <c r="J451" i="1"/>
  <c r="I451" i="1"/>
  <c r="H451" i="1"/>
  <c r="N449" i="1"/>
  <c r="M449" i="1"/>
  <c r="L449" i="1"/>
  <c r="K449" i="1"/>
  <c r="J449" i="1"/>
  <c r="I449" i="1"/>
  <c r="H449" i="1"/>
  <c r="N448" i="1"/>
  <c r="M448" i="1"/>
  <c r="L448" i="1"/>
  <c r="K448" i="1"/>
  <c r="J448" i="1"/>
  <c r="I448" i="1"/>
  <c r="H448" i="1"/>
  <c r="N447" i="1"/>
  <c r="M447" i="1"/>
  <c r="L447" i="1"/>
  <c r="K447" i="1"/>
  <c r="J447" i="1"/>
  <c r="I447" i="1"/>
  <c r="H447" i="1"/>
  <c r="N446" i="1"/>
  <c r="M446" i="1"/>
  <c r="L446" i="1"/>
  <c r="K446" i="1"/>
  <c r="J446" i="1"/>
  <c r="I446" i="1"/>
  <c r="H446" i="1"/>
  <c r="N445" i="1"/>
  <c r="M445" i="1"/>
  <c r="L445" i="1"/>
  <c r="K445" i="1"/>
  <c r="J445" i="1"/>
  <c r="I445" i="1"/>
  <c r="H445" i="1"/>
  <c r="N444" i="1"/>
  <c r="M444" i="1"/>
  <c r="L444" i="1"/>
  <c r="K444" i="1"/>
  <c r="J444" i="1"/>
  <c r="I444" i="1"/>
  <c r="H444" i="1"/>
  <c r="N443" i="1"/>
  <c r="M443" i="1"/>
  <c r="L443" i="1"/>
  <c r="O443" i="1" s="1"/>
  <c r="K443" i="1"/>
  <c r="J443" i="1"/>
  <c r="I443" i="1"/>
  <c r="H443" i="1"/>
  <c r="N442" i="1"/>
  <c r="M442" i="1"/>
  <c r="L442" i="1"/>
  <c r="K442" i="1"/>
  <c r="J442" i="1"/>
  <c r="I442" i="1"/>
  <c r="H442" i="1"/>
  <c r="N441" i="1"/>
  <c r="M441" i="1"/>
  <c r="L441" i="1"/>
  <c r="K441" i="1"/>
  <c r="J441" i="1"/>
  <c r="I441" i="1"/>
  <c r="H441" i="1"/>
  <c r="N440" i="1"/>
  <c r="M440" i="1"/>
  <c r="L440" i="1"/>
  <c r="K440" i="1"/>
  <c r="J440" i="1"/>
  <c r="I440" i="1"/>
  <c r="H440" i="1"/>
  <c r="N439" i="1"/>
  <c r="M439" i="1"/>
  <c r="L439" i="1"/>
  <c r="K439" i="1"/>
  <c r="J439" i="1"/>
  <c r="I439" i="1"/>
  <c r="H439" i="1"/>
  <c r="N438" i="1"/>
  <c r="M438" i="1"/>
  <c r="L438" i="1"/>
  <c r="K438" i="1"/>
  <c r="J438" i="1"/>
  <c r="I438" i="1"/>
  <c r="H438" i="1"/>
  <c r="N437" i="1"/>
  <c r="M437" i="1"/>
  <c r="L437" i="1"/>
  <c r="K437" i="1"/>
  <c r="J437" i="1"/>
  <c r="I437" i="1"/>
  <c r="H437" i="1"/>
  <c r="N436" i="1"/>
  <c r="M436" i="1"/>
  <c r="L436" i="1"/>
  <c r="K436" i="1"/>
  <c r="J436" i="1"/>
  <c r="I436" i="1"/>
  <c r="H436" i="1"/>
  <c r="N435" i="1"/>
  <c r="M435" i="1"/>
  <c r="L435" i="1"/>
  <c r="K435" i="1"/>
  <c r="J435" i="1"/>
  <c r="I435" i="1"/>
  <c r="H435" i="1"/>
  <c r="N434" i="1"/>
  <c r="M434" i="1"/>
  <c r="L434" i="1"/>
  <c r="K434" i="1"/>
  <c r="J434" i="1"/>
  <c r="I434" i="1"/>
  <c r="H434" i="1"/>
  <c r="N433" i="1"/>
  <c r="M433" i="1"/>
  <c r="L433" i="1"/>
  <c r="K433" i="1"/>
  <c r="J433" i="1"/>
  <c r="O433" i="1" s="1"/>
  <c r="I433" i="1"/>
  <c r="H433" i="1"/>
  <c r="N432" i="1"/>
  <c r="M432" i="1"/>
  <c r="L432" i="1"/>
  <c r="K432" i="1"/>
  <c r="J432" i="1"/>
  <c r="I432" i="1"/>
  <c r="H432" i="1"/>
  <c r="N431" i="1"/>
  <c r="M431" i="1"/>
  <c r="L431" i="1"/>
  <c r="K431" i="1"/>
  <c r="J431" i="1"/>
  <c r="I431" i="1"/>
  <c r="H431" i="1"/>
  <c r="N430" i="1"/>
  <c r="M430" i="1"/>
  <c r="L430" i="1"/>
  <c r="K430" i="1"/>
  <c r="J430" i="1"/>
  <c r="I430" i="1"/>
  <c r="H430" i="1"/>
  <c r="N429" i="1"/>
  <c r="M429" i="1"/>
  <c r="L429" i="1"/>
  <c r="K429" i="1"/>
  <c r="J429" i="1"/>
  <c r="I429" i="1"/>
  <c r="H429" i="1"/>
  <c r="N428" i="1"/>
  <c r="M428" i="1"/>
  <c r="L428" i="1"/>
  <c r="K428" i="1"/>
  <c r="J428" i="1"/>
  <c r="I428" i="1"/>
  <c r="H428" i="1"/>
  <c r="N427" i="1"/>
  <c r="M427" i="1"/>
  <c r="L427" i="1"/>
  <c r="K427" i="1"/>
  <c r="J427" i="1"/>
  <c r="I427" i="1"/>
  <c r="H427" i="1"/>
  <c r="N426" i="1"/>
  <c r="M426" i="1"/>
  <c r="L426" i="1"/>
  <c r="K426" i="1"/>
  <c r="J426" i="1"/>
  <c r="I426" i="1"/>
  <c r="H426" i="1"/>
  <c r="N425" i="1"/>
  <c r="M425" i="1"/>
  <c r="L425" i="1"/>
  <c r="K425" i="1"/>
  <c r="J425" i="1"/>
  <c r="I425" i="1"/>
  <c r="H425" i="1"/>
  <c r="N424" i="1"/>
  <c r="M424" i="1"/>
  <c r="L424" i="1"/>
  <c r="K424" i="1"/>
  <c r="J424" i="1"/>
  <c r="I424" i="1"/>
  <c r="H424" i="1"/>
  <c r="N423" i="1"/>
  <c r="M423" i="1"/>
  <c r="L423" i="1"/>
  <c r="K423" i="1"/>
  <c r="J423" i="1"/>
  <c r="I423" i="1"/>
  <c r="H423" i="1"/>
  <c r="N422" i="1"/>
  <c r="M422" i="1"/>
  <c r="L422" i="1"/>
  <c r="K422" i="1"/>
  <c r="J422" i="1"/>
  <c r="I422" i="1"/>
  <c r="H422" i="1"/>
  <c r="N421" i="1"/>
  <c r="M421" i="1"/>
  <c r="L421" i="1"/>
  <c r="K421" i="1"/>
  <c r="J421" i="1"/>
  <c r="O421" i="1" s="1"/>
  <c r="I421" i="1"/>
  <c r="H421" i="1"/>
  <c r="N420" i="1"/>
  <c r="M420" i="1"/>
  <c r="L420" i="1"/>
  <c r="K420" i="1"/>
  <c r="J420" i="1"/>
  <c r="I420" i="1"/>
  <c r="H420" i="1"/>
  <c r="N419" i="1"/>
  <c r="M419" i="1"/>
  <c r="L419" i="1"/>
  <c r="K419" i="1"/>
  <c r="J419" i="1"/>
  <c r="I419" i="1"/>
  <c r="H419" i="1"/>
  <c r="N418" i="1"/>
  <c r="M418" i="1"/>
  <c r="L418" i="1"/>
  <c r="K418" i="1"/>
  <c r="J418" i="1"/>
  <c r="I418" i="1"/>
  <c r="H418" i="1"/>
  <c r="N417" i="1"/>
  <c r="M417" i="1"/>
  <c r="L417" i="1"/>
  <c r="K417" i="1"/>
  <c r="J417" i="1"/>
  <c r="I417" i="1"/>
  <c r="H417" i="1"/>
  <c r="N416" i="1"/>
  <c r="M416" i="1"/>
  <c r="L416" i="1"/>
  <c r="K416" i="1"/>
  <c r="J416" i="1"/>
  <c r="I416" i="1"/>
  <c r="H416" i="1"/>
  <c r="N415" i="1"/>
  <c r="M415" i="1"/>
  <c r="L415" i="1"/>
  <c r="K415" i="1"/>
  <c r="J415" i="1"/>
  <c r="I415" i="1"/>
  <c r="H415" i="1"/>
  <c r="N414" i="1"/>
  <c r="M414" i="1"/>
  <c r="L414" i="1"/>
  <c r="K414" i="1"/>
  <c r="J414" i="1"/>
  <c r="I414" i="1"/>
  <c r="H414" i="1"/>
  <c r="N413" i="1"/>
  <c r="M413" i="1"/>
  <c r="L413" i="1"/>
  <c r="K413" i="1"/>
  <c r="J413" i="1"/>
  <c r="I413" i="1"/>
  <c r="H413" i="1"/>
  <c r="N412" i="1"/>
  <c r="M412" i="1"/>
  <c r="L412" i="1"/>
  <c r="K412" i="1"/>
  <c r="J412" i="1"/>
  <c r="I412" i="1"/>
  <c r="H412" i="1"/>
  <c r="N411" i="1"/>
  <c r="M411" i="1"/>
  <c r="L411" i="1"/>
  <c r="K411" i="1"/>
  <c r="J411" i="1"/>
  <c r="I411" i="1"/>
  <c r="H411" i="1"/>
  <c r="N410" i="1"/>
  <c r="M410" i="1"/>
  <c r="L410" i="1"/>
  <c r="K410" i="1"/>
  <c r="J410" i="1"/>
  <c r="I410" i="1"/>
  <c r="H410" i="1"/>
  <c r="N409" i="1"/>
  <c r="M409" i="1"/>
  <c r="L409" i="1"/>
  <c r="K409" i="1"/>
  <c r="J409" i="1"/>
  <c r="O409" i="1" s="1"/>
  <c r="I409" i="1"/>
  <c r="H409" i="1"/>
  <c r="N408" i="1"/>
  <c r="M408" i="1"/>
  <c r="L408" i="1"/>
  <c r="K408" i="1"/>
  <c r="J408" i="1"/>
  <c r="I408" i="1"/>
  <c r="H408" i="1"/>
  <c r="N407" i="1"/>
  <c r="M407" i="1"/>
  <c r="L407" i="1"/>
  <c r="K407" i="1"/>
  <c r="J407" i="1"/>
  <c r="I407" i="1"/>
  <c r="H407" i="1"/>
  <c r="N406" i="1"/>
  <c r="M406" i="1"/>
  <c r="L406" i="1"/>
  <c r="K406" i="1"/>
  <c r="J406" i="1"/>
  <c r="I406" i="1"/>
  <c r="H406" i="1"/>
  <c r="N405" i="1"/>
  <c r="M405" i="1"/>
  <c r="L405" i="1"/>
  <c r="K405" i="1"/>
  <c r="J405" i="1"/>
  <c r="I405" i="1"/>
  <c r="H405" i="1"/>
  <c r="N404" i="1"/>
  <c r="M404" i="1"/>
  <c r="L404" i="1"/>
  <c r="K404" i="1"/>
  <c r="J404" i="1"/>
  <c r="I404" i="1"/>
  <c r="H404" i="1"/>
  <c r="N403" i="1"/>
  <c r="M403" i="1"/>
  <c r="L403" i="1"/>
  <c r="K403" i="1"/>
  <c r="J403" i="1"/>
  <c r="I403" i="1"/>
  <c r="H403" i="1"/>
  <c r="N402" i="1"/>
  <c r="M402" i="1"/>
  <c r="L402" i="1"/>
  <c r="K402" i="1"/>
  <c r="J402" i="1"/>
  <c r="I402" i="1"/>
  <c r="H402" i="1"/>
  <c r="N401" i="1"/>
  <c r="M401" i="1"/>
  <c r="L401" i="1"/>
  <c r="K401" i="1"/>
  <c r="J401" i="1"/>
  <c r="I401" i="1"/>
  <c r="H401" i="1"/>
  <c r="N400" i="1"/>
  <c r="M400" i="1"/>
  <c r="L400" i="1"/>
  <c r="K400" i="1"/>
  <c r="J400" i="1"/>
  <c r="O400" i="1" s="1"/>
  <c r="I400" i="1"/>
  <c r="H400" i="1"/>
  <c r="N398" i="1"/>
  <c r="M398" i="1"/>
  <c r="L398" i="1"/>
  <c r="K398" i="1"/>
  <c r="J398" i="1"/>
  <c r="I398" i="1"/>
  <c r="H398" i="1"/>
  <c r="N397" i="1"/>
  <c r="M397" i="1"/>
  <c r="L397" i="1"/>
  <c r="K397" i="1"/>
  <c r="J397" i="1"/>
  <c r="I397" i="1"/>
  <c r="H397" i="1"/>
  <c r="N396" i="1"/>
  <c r="M396" i="1"/>
  <c r="L396" i="1"/>
  <c r="K396" i="1"/>
  <c r="J396" i="1"/>
  <c r="I396" i="1"/>
  <c r="H396" i="1"/>
  <c r="N395" i="1"/>
  <c r="M395" i="1"/>
  <c r="L395" i="1"/>
  <c r="K395" i="1"/>
  <c r="J395" i="1"/>
  <c r="I395" i="1"/>
  <c r="H395" i="1"/>
  <c r="N394" i="1"/>
  <c r="M394" i="1"/>
  <c r="L394" i="1"/>
  <c r="O394" i="1" s="1"/>
  <c r="K394" i="1"/>
  <c r="J394" i="1"/>
  <c r="I394" i="1"/>
  <c r="H394" i="1"/>
  <c r="N393" i="1"/>
  <c r="M393" i="1"/>
  <c r="L393" i="1"/>
  <c r="K393" i="1"/>
  <c r="J393" i="1"/>
  <c r="I393" i="1"/>
  <c r="H393" i="1"/>
  <c r="N392" i="1"/>
  <c r="M392" i="1"/>
  <c r="L392" i="1"/>
  <c r="K392" i="1"/>
  <c r="J392" i="1"/>
  <c r="I392" i="1"/>
  <c r="H392" i="1"/>
  <c r="N391" i="1"/>
  <c r="M391" i="1"/>
  <c r="L391" i="1"/>
  <c r="K391" i="1"/>
  <c r="J391" i="1"/>
  <c r="I391" i="1"/>
  <c r="H391" i="1"/>
  <c r="N390" i="1"/>
  <c r="M390" i="1"/>
  <c r="L390" i="1"/>
  <c r="K390" i="1"/>
  <c r="J390" i="1"/>
  <c r="I390" i="1"/>
  <c r="H390" i="1"/>
  <c r="N389" i="1"/>
  <c r="M389" i="1"/>
  <c r="L389" i="1"/>
  <c r="K389" i="1"/>
  <c r="J389" i="1"/>
  <c r="I389" i="1"/>
  <c r="H389" i="1"/>
  <c r="N388" i="1"/>
  <c r="M388" i="1"/>
  <c r="L388" i="1"/>
  <c r="K388" i="1"/>
  <c r="J388" i="1"/>
  <c r="I388" i="1"/>
  <c r="H388" i="1"/>
  <c r="N387" i="1"/>
  <c r="M387" i="1"/>
  <c r="L387" i="1"/>
  <c r="K387" i="1"/>
  <c r="J387" i="1"/>
  <c r="I387" i="1"/>
  <c r="H387" i="1"/>
  <c r="N386" i="1"/>
  <c r="M386" i="1"/>
  <c r="L386" i="1"/>
  <c r="K386" i="1"/>
  <c r="J386" i="1"/>
  <c r="I386" i="1"/>
  <c r="H386" i="1"/>
  <c r="N385" i="1"/>
  <c r="M385" i="1"/>
  <c r="L385" i="1"/>
  <c r="K385" i="1"/>
  <c r="J385" i="1"/>
  <c r="I385" i="1"/>
  <c r="H385" i="1"/>
  <c r="N384" i="1"/>
  <c r="M384" i="1"/>
  <c r="L384" i="1"/>
  <c r="K384" i="1"/>
  <c r="J384" i="1"/>
  <c r="O384" i="1" s="1"/>
  <c r="I384" i="1"/>
  <c r="H384" i="1"/>
  <c r="N383" i="1"/>
  <c r="M383" i="1"/>
  <c r="L383" i="1"/>
  <c r="K383" i="1"/>
  <c r="J383" i="1"/>
  <c r="I383" i="1"/>
  <c r="H383" i="1"/>
  <c r="N382" i="1"/>
  <c r="M382" i="1"/>
  <c r="L382" i="1"/>
  <c r="K382" i="1"/>
  <c r="J382" i="1"/>
  <c r="I382" i="1"/>
  <c r="H382" i="1"/>
  <c r="N381" i="1"/>
  <c r="M381" i="1"/>
  <c r="L381" i="1"/>
  <c r="K381" i="1"/>
  <c r="J381" i="1"/>
  <c r="I381" i="1"/>
  <c r="H381" i="1"/>
  <c r="N380" i="1"/>
  <c r="M380" i="1"/>
  <c r="L380" i="1"/>
  <c r="K380" i="1"/>
  <c r="J380" i="1"/>
  <c r="I380" i="1"/>
  <c r="H380" i="1"/>
  <c r="N379" i="1"/>
  <c r="M379" i="1"/>
  <c r="L379" i="1"/>
  <c r="K379" i="1"/>
  <c r="J379" i="1"/>
  <c r="I379" i="1"/>
  <c r="H379" i="1"/>
  <c r="N378" i="1"/>
  <c r="M378" i="1"/>
  <c r="L378" i="1"/>
  <c r="K378" i="1"/>
  <c r="J378" i="1"/>
  <c r="I378" i="1"/>
  <c r="H378" i="1"/>
  <c r="N377" i="1"/>
  <c r="M377" i="1"/>
  <c r="L377" i="1"/>
  <c r="K377" i="1"/>
  <c r="J377" i="1"/>
  <c r="I377" i="1"/>
  <c r="H377" i="1"/>
  <c r="N376" i="1"/>
  <c r="M376" i="1"/>
  <c r="L376" i="1"/>
  <c r="K376" i="1"/>
  <c r="J376" i="1"/>
  <c r="I376" i="1"/>
  <c r="H376" i="1"/>
  <c r="N375" i="1"/>
  <c r="M375" i="1"/>
  <c r="L375" i="1"/>
  <c r="K375" i="1"/>
  <c r="J375" i="1"/>
  <c r="O375" i="1" s="1"/>
  <c r="I375" i="1"/>
  <c r="H375" i="1"/>
  <c r="N374" i="1"/>
  <c r="M374" i="1"/>
  <c r="L374" i="1"/>
  <c r="K374" i="1"/>
  <c r="J374" i="1"/>
  <c r="I374" i="1"/>
  <c r="H374" i="1"/>
  <c r="N372" i="1"/>
  <c r="M372" i="1"/>
  <c r="L372" i="1"/>
  <c r="K372" i="1"/>
  <c r="J372" i="1"/>
  <c r="I372" i="1"/>
  <c r="H372" i="1"/>
  <c r="N371" i="1"/>
  <c r="M371" i="1"/>
  <c r="L371" i="1"/>
  <c r="K371" i="1"/>
  <c r="J371" i="1"/>
  <c r="I371" i="1"/>
  <c r="H371" i="1"/>
  <c r="N370" i="1"/>
  <c r="M370" i="1"/>
  <c r="L370" i="1"/>
  <c r="K370" i="1"/>
  <c r="J370" i="1"/>
  <c r="I370" i="1"/>
  <c r="H370" i="1"/>
  <c r="N369" i="1"/>
  <c r="M369" i="1"/>
  <c r="L369" i="1"/>
  <c r="K369" i="1"/>
  <c r="J369" i="1"/>
  <c r="I369" i="1"/>
  <c r="H369" i="1"/>
  <c r="N368" i="1"/>
  <c r="M368" i="1"/>
  <c r="L368" i="1"/>
  <c r="K368" i="1"/>
  <c r="J368" i="1"/>
  <c r="I368" i="1"/>
  <c r="H368" i="1"/>
  <c r="N367" i="1"/>
  <c r="M367" i="1"/>
  <c r="L367" i="1"/>
  <c r="K367" i="1"/>
  <c r="J367" i="1"/>
  <c r="I367" i="1"/>
  <c r="H367" i="1"/>
  <c r="N366" i="1"/>
  <c r="M366" i="1"/>
  <c r="L366" i="1"/>
  <c r="K366" i="1"/>
  <c r="J366" i="1"/>
  <c r="I366" i="1"/>
  <c r="H366" i="1"/>
  <c r="N365" i="1"/>
  <c r="M365" i="1"/>
  <c r="L365" i="1"/>
  <c r="K365" i="1"/>
  <c r="J365" i="1"/>
  <c r="I365" i="1"/>
  <c r="H365" i="1"/>
  <c r="N364" i="1"/>
  <c r="M364" i="1"/>
  <c r="L364" i="1"/>
  <c r="K364" i="1"/>
  <c r="J364" i="1"/>
  <c r="I364" i="1"/>
  <c r="H364" i="1"/>
  <c r="N363" i="1"/>
  <c r="M363" i="1"/>
  <c r="L363" i="1"/>
  <c r="K363" i="1"/>
  <c r="J363" i="1"/>
  <c r="I363" i="1"/>
  <c r="H363" i="1"/>
  <c r="N362" i="1"/>
  <c r="M362" i="1"/>
  <c r="L362" i="1"/>
  <c r="K362" i="1"/>
  <c r="J362" i="1"/>
  <c r="O362" i="1" s="1"/>
  <c r="I362" i="1"/>
  <c r="H362" i="1"/>
  <c r="N361" i="1"/>
  <c r="M361" i="1"/>
  <c r="L361" i="1"/>
  <c r="K361" i="1"/>
  <c r="J361" i="1"/>
  <c r="I361" i="1"/>
  <c r="H361" i="1"/>
  <c r="N360" i="1"/>
  <c r="M360" i="1"/>
  <c r="L360" i="1"/>
  <c r="K360" i="1"/>
  <c r="J360" i="1"/>
  <c r="I360" i="1"/>
  <c r="H360" i="1"/>
  <c r="N359" i="1"/>
  <c r="M359" i="1"/>
  <c r="L359" i="1"/>
  <c r="K359" i="1"/>
  <c r="J359" i="1"/>
  <c r="O359" i="1" s="1"/>
  <c r="I359" i="1"/>
  <c r="H359" i="1"/>
  <c r="N358" i="1"/>
  <c r="M358" i="1"/>
  <c r="L358" i="1"/>
  <c r="K358" i="1"/>
  <c r="J358" i="1"/>
  <c r="I358" i="1"/>
  <c r="H358" i="1"/>
  <c r="N357" i="1"/>
  <c r="M357" i="1"/>
  <c r="L357" i="1"/>
  <c r="O357" i="1" s="1"/>
  <c r="K357" i="1"/>
  <c r="J357" i="1"/>
  <c r="I357" i="1"/>
  <c r="H357" i="1"/>
  <c r="N356" i="1"/>
  <c r="M356" i="1"/>
  <c r="L356" i="1"/>
  <c r="K356" i="1"/>
  <c r="J356" i="1"/>
  <c r="I356" i="1"/>
  <c r="H356" i="1"/>
  <c r="N355" i="1"/>
  <c r="M355" i="1"/>
  <c r="L355" i="1"/>
  <c r="K355" i="1"/>
  <c r="J355" i="1"/>
  <c r="I355" i="1"/>
  <c r="H355" i="1"/>
  <c r="N354" i="1"/>
  <c r="M354" i="1"/>
  <c r="L354" i="1"/>
  <c r="K354" i="1"/>
  <c r="J354" i="1"/>
  <c r="I354" i="1"/>
  <c r="I353" i="1" s="1"/>
  <c r="H354" i="1"/>
  <c r="N351" i="1"/>
  <c r="M351" i="1"/>
  <c r="L351" i="1"/>
  <c r="K351" i="1"/>
  <c r="J351" i="1"/>
  <c r="I351" i="1"/>
  <c r="H351" i="1"/>
  <c r="N350" i="1"/>
  <c r="M350" i="1"/>
  <c r="L350" i="1"/>
  <c r="K350" i="1"/>
  <c r="J350" i="1"/>
  <c r="I350" i="1"/>
  <c r="H350" i="1"/>
  <c r="N349" i="1"/>
  <c r="M349" i="1"/>
  <c r="L349" i="1"/>
  <c r="K349" i="1"/>
  <c r="J349" i="1"/>
  <c r="I349" i="1"/>
  <c r="H349" i="1"/>
  <c r="N348" i="1"/>
  <c r="M348" i="1"/>
  <c r="L348" i="1"/>
  <c r="K348" i="1"/>
  <c r="J348" i="1"/>
  <c r="O348" i="1" s="1"/>
  <c r="I348" i="1"/>
  <c r="H348" i="1"/>
  <c r="N346" i="1"/>
  <c r="M346" i="1"/>
  <c r="L346" i="1"/>
  <c r="K346" i="1"/>
  <c r="J346" i="1"/>
  <c r="I346" i="1"/>
  <c r="H346" i="1"/>
  <c r="N345" i="1"/>
  <c r="M345" i="1"/>
  <c r="L345" i="1"/>
  <c r="K345" i="1"/>
  <c r="J345" i="1"/>
  <c r="I345" i="1"/>
  <c r="H345" i="1"/>
  <c r="N344" i="1"/>
  <c r="M344" i="1"/>
  <c r="L344" i="1"/>
  <c r="K344" i="1"/>
  <c r="J344" i="1"/>
  <c r="I344" i="1"/>
  <c r="H344" i="1"/>
  <c r="N343" i="1"/>
  <c r="M343" i="1"/>
  <c r="L343" i="1"/>
  <c r="K343" i="1"/>
  <c r="J343" i="1"/>
  <c r="O343" i="1" s="1"/>
  <c r="I343" i="1"/>
  <c r="H343" i="1"/>
  <c r="N342" i="1"/>
  <c r="M342" i="1"/>
  <c r="L342" i="1"/>
  <c r="K342" i="1"/>
  <c r="J342" i="1"/>
  <c r="O342" i="1" s="1"/>
  <c r="I342" i="1"/>
  <c r="H342" i="1"/>
  <c r="N341" i="1"/>
  <c r="M341" i="1"/>
  <c r="L341" i="1"/>
  <c r="K341" i="1"/>
  <c r="J341" i="1"/>
  <c r="I341" i="1"/>
  <c r="H341" i="1"/>
  <c r="N340" i="1"/>
  <c r="M340" i="1"/>
  <c r="L340" i="1"/>
  <c r="K340" i="1"/>
  <c r="J340" i="1"/>
  <c r="I340" i="1"/>
  <c r="H340" i="1"/>
  <c r="N339" i="1"/>
  <c r="M339" i="1"/>
  <c r="L339" i="1"/>
  <c r="K339" i="1"/>
  <c r="J339" i="1"/>
  <c r="I339" i="1"/>
  <c r="H339" i="1"/>
  <c r="N338" i="1"/>
  <c r="M338" i="1"/>
  <c r="L338" i="1"/>
  <c r="K338" i="1"/>
  <c r="J338" i="1"/>
  <c r="O338" i="1" s="1"/>
  <c r="I338" i="1"/>
  <c r="H338" i="1"/>
  <c r="N337" i="1"/>
  <c r="M337" i="1"/>
  <c r="L337" i="1"/>
  <c r="K337" i="1"/>
  <c r="J337" i="1"/>
  <c r="I337" i="1"/>
  <c r="H337" i="1"/>
  <c r="N336" i="1"/>
  <c r="M336" i="1"/>
  <c r="L336" i="1"/>
  <c r="K336" i="1"/>
  <c r="J336" i="1"/>
  <c r="I336" i="1"/>
  <c r="H336" i="1"/>
  <c r="N334" i="1"/>
  <c r="M334" i="1"/>
  <c r="L334" i="1"/>
  <c r="K334" i="1"/>
  <c r="J334" i="1"/>
  <c r="I334" i="1"/>
  <c r="H334" i="1"/>
  <c r="N333" i="1"/>
  <c r="M333" i="1"/>
  <c r="L333" i="1"/>
  <c r="K333" i="1"/>
  <c r="J333" i="1"/>
  <c r="I333" i="1"/>
  <c r="H333" i="1"/>
  <c r="N332" i="1"/>
  <c r="M332" i="1"/>
  <c r="L332" i="1"/>
  <c r="K332" i="1"/>
  <c r="J332" i="1"/>
  <c r="I332" i="1"/>
  <c r="H332" i="1"/>
  <c r="N331" i="1"/>
  <c r="M331" i="1"/>
  <c r="L331" i="1"/>
  <c r="K331" i="1"/>
  <c r="J331" i="1"/>
  <c r="I331" i="1"/>
  <c r="H331" i="1"/>
  <c r="N330" i="1"/>
  <c r="M330" i="1"/>
  <c r="L330" i="1"/>
  <c r="K330" i="1"/>
  <c r="J330" i="1"/>
  <c r="I330" i="1"/>
  <c r="H330" i="1"/>
  <c r="N329" i="1"/>
  <c r="M329" i="1"/>
  <c r="L329" i="1"/>
  <c r="K329" i="1"/>
  <c r="J329" i="1"/>
  <c r="I329" i="1"/>
  <c r="H329" i="1"/>
  <c r="N328" i="1"/>
  <c r="M328" i="1"/>
  <c r="L328" i="1"/>
  <c r="K328" i="1"/>
  <c r="J328" i="1"/>
  <c r="I328" i="1"/>
  <c r="H328" i="1"/>
  <c r="N327" i="1"/>
  <c r="M327" i="1"/>
  <c r="L327" i="1"/>
  <c r="K327" i="1"/>
  <c r="J327" i="1"/>
  <c r="I327" i="1"/>
  <c r="H327" i="1"/>
  <c r="N326" i="1"/>
  <c r="M326" i="1"/>
  <c r="L326" i="1"/>
  <c r="K326" i="1"/>
  <c r="J326" i="1"/>
  <c r="I326" i="1"/>
  <c r="H326" i="1"/>
  <c r="N325" i="1"/>
  <c r="M325" i="1"/>
  <c r="L325" i="1"/>
  <c r="K325" i="1"/>
  <c r="J325" i="1"/>
  <c r="I325" i="1"/>
  <c r="H325" i="1"/>
  <c r="N324" i="1"/>
  <c r="M324" i="1"/>
  <c r="L324" i="1"/>
  <c r="K324" i="1"/>
  <c r="J324" i="1"/>
  <c r="I324" i="1"/>
  <c r="H324" i="1"/>
  <c r="N323" i="1"/>
  <c r="M323" i="1"/>
  <c r="L323" i="1"/>
  <c r="K323" i="1"/>
  <c r="J323" i="1"/>
  <c r="I323" i="1"/>
  <c r="H323" i="1"/>
  <c r="N322" i="1"/>
  <c r="M322" i="1"/>
  <c r="L322" i="1"/>
  <c r="K322" i="1"/>
  <c r="J322" i="1"/>
  <c r="I322" i="1"/>
  <c r="H322" i="1"/>
  <c r="N321" i="1"/>
  <c r="M321" i="1"/>
  <c r="L321" i="1"/>
  <c r="O321" i="1" s="1"/>
  <c r="K321" i="1"/>
  <c r="J321" i="1"/>
  <c r="I321" i="1"/>
  <c r="H321" i="1"/>
  <c r="N320" i="1"/>
  <c r="M320" i="1"/>
  <c r="L320" i="1"/>
  <c r="K320" i="1"/>
  <c r="J320" i="1"/>
  <c r="I320" i="1"/>
  <c r="H320" i="1"/>
  <c r="N319" i="1"/>
  <c r="M319" i="1"/>
  <c r="L319" i="1"/>
  <c r="K319" i="1"/>
  <c r="J319" i="1"/>
  <c r="I319" i="1"/>
  <c r="H319" i="1"/>
  <c r="N318" i="1"/>
  <c r="M318" i="1"/>
  <c r="L318" i="1"/>
  <c r="K318" i="1"/>
  <c r="J318" i="1"/>
  <c r="I318" i="1"/>
  <c r="H318" i="1"/>
  <c r="N317" i="1"/>
  <c r="M317" i="1"/>
  <c r="L317" i="1"/>
  <c r="K317" i="1"/>
  <c r="J317" i="1"/>
  <c r="I317" i="1"/>
  <c r="H317" i="1"/>
  <c r="N316" i="1"/>
  <c r="M316" i="1"/>
  <c r="L316" i="1"/>
  <c r="K316" i="1"/>
  <c r="J316" i="1"/>
  <c r="I316" i="1"/>
  <c r="H316" i="1"/>
  <c r="N315" i="1"/>
  <c r="M315" i="1"/>
  <c r="L315" i="1"/>
  <c r="K315" i="1"/>
  <c r="J315" i="1"/>
  <c r="I315" i="1"/>
  <c r="H315" i="1"/>
  <c r="N314" i="1"/>
  <c r="M314" i="1"/>
  <c r="L314" i="1"/>
  <c r="K314" i="1"/>
  <c r="J314" i="1"/>
  <c r="I314" i="1"/>
  <c r="H314" i="1"/>
  <c r="N313" i="1"/>
  <c r="M313" i="1"/>
  <c r="L313" i="1"/>
  <c r="K313" i="1"/>
  <c r="J313" i="1"/>
  <c r="I313" i="1"/>
  <c r="H313" i="1"/>
  <c r="N312" i="1"/>
  <c r="M312" i="1"/>
  <c r="L312" i="1"/>
  <c r="K312" i="1"/>
  <c r="J312" i="1"/>
  <c r="I312" i="1"/>
  <c r="H312" i="1"/>
  <c r="N311" i="1"/>
  <c r="M311" i="1"/>
  <c r="L311" i="1"/>
  <c r="K311" i="1"/>
  <c r="J311" i="1"/>
  <c r="I311" i="1"/>
  <c r="H311" i="1"/>
  <c r="N310" i="1"/>
  <c r="M310" i="1"/>
  <c r="L310" i="1"/>
  <c r="K310" i="1"/>
  <c r="J310" i="1"/>
  <c r="I310" i="1"/>
  <c r="H310" i="1"/>
  <c r="N309" i="1"/>
  <c r="M309" i="1"/>
  <c r="L309" i="1"/>
  <c r="K309" i="1"/>
  <c r="J309" i="1"/>
  <c r="I309" i="1"/>
  <c r="H309" i="1"/>
  <c r="N308" i="1"/>
  <c r="M308" i="1"/>
  <c r="L308" i="1"/>
  <c r="K308" i="1"/>
  <c r="J308" i="1"/>
  <c r="I308" i="1"/>
  <c r="H308" i="1"/>
  <c r="N307" i="1"/>
  <c r="M307" i="1"/>
  <c r="L307" i="1"/>
  <c r="K307" i="1"/>
  <c r="J307" i="1"/>
  <c r="I307" i="1"/>
  <c r="H307" i="1"/>
  <c r="N306" i="1"/>
  <c r="M306" i="1"/>
  <c r="L306" i="1"/>
  <c r="K306" i="1"/>
  <c r="J306" i="1"/>
  <c r="I306" i="1"/>
  <c r="H306" i="1"/>
  <c r="N305" i="1"/>
  <c r="M305" i="1"/>
  <c r="L305" i="1"/>
  <c r="K305" i="1"/>
  <c r="J305" i="1"/>
  <c r="I305" i="1"/>
  <c r="H305" i="1"/>
  <c r="N304" i="1"/>
  <c r="M304" i="1"/>
  <c r="L304" i="1"/>
  <c r="K304" i="1"/>
  <c r="J304" i="1"/>
  <c r="I304" i="1"/>
  <c r="H304" i="1"/>
  <c r="N303" i="1"/>
  <c r="M303" i="1"/>
  <c r="L303" i="1"/>
  <c r="K303" i="1"/>
  <c r="J303" i="1"/>
  <c r="I303" i="1"/>
  <c r="H303" i="1"/>
  <c r="N302" i="1"/>
  <c r="M302" i="1"/>
  <c r="L302" i="1"/>
  <c r="K302" i="1"/>
  <c r="J302" i="1"/>
  <c r="I302" i="1"/>
  <c r="H302" i="1"/>
  <c r="N301" i="1"/>
  <c r="M301" i="1"/>
  <c r="L301" i="1"/>
  <c r="K301" i="1"/>
  <c r="J301" i="1"/>
  <c r="I301" i="1"/>
  <c r="H301" i="1"/>
  <c r="N300" i="1"/>
  <c r="M300" i="1"/>
  <c r="L300" i="1"/>
  <c r="K300" i="1"/>
  <c r="J300" i="1"/>
  <c r="I300" i="1"/>
  <c r="H300" i="1"/>
  <c r="N299" i="1"/>
  <c r="M299" i="1"/>
  <c r="L299" i="1"/>
  <c r="K299" i="1"/>
  <c r="J299" i="1"/>
  <c r="I299" i="1"/>
  <c r="H299" i="1"/>
  <c r="N298" i="1"/>
  <c r="M298" i="1"/>
  <c r="L298" i="1"/>
  <c r="K298" i="1"/>
  <c r="J298" i="1"/>
  <c r="I298" i="1"/>
  <c r="H298" i="1"/>
  <c r="N297" i="1"/>
  <c r="M297" i="1"/>
  <c r="L297" i="1"/>
  <c r="K297" i="1"/>
  <c r="J297" i="1"/>
  <c r="I297" i="1"/>
  <c r="H297" i="1"/>
  <c r="N296" i="1"/>
  <c r="M296" i="1"/>
  <c r="L296" i="1"/>
  <c r="K296" i="1"/>
  <c r="J296" i="1"/>
  <c r="I296" i="1"/>
  <c r="H296" i="1"/>
  <c r="N295" i="1"/>
  <c r="M295" i="1"/>
  <c r="L295" i="1"/>
  <c r="K295" i="1"/>
  <c r="J295" i="1"/>
  <c r="I295" i="1"/>
  <c r="H295" i="1"/>
  <c r="N294" i="1"/>
  <c r="M294" i="1"/>
  <c r="L294" i="1"/>
  <c r="K294" i="1"/>
  <c r="J294" i="1"/>
  <c r="I294" i="1"/>
  <c r="H294" i="1"/>
  <c r="N293" i="1"/>
  <c r="M293" i="1"/>
  <c r="L293" i="1"/>
  <c r="K293" i="1"/>
  <c r="J293" i="1"/>
  <c r="I293" i="1"/>
  <c r="H293" i="1"/>
  <c r="N292" i="1"/>
  <c r="M292" i="1"/>
  <c r="L292" i="1"/>
  <c r="K292" i="1"/>
  <c r="J292" i="1"/>
  <c r="I292" i="1"/>
  <c r="H292" i="1"/>
  <c r="N291" i="1"/>
  <c r="M291" i="1"/>
  <c r="L291" i="1"/>
  <c r="K291" i="1"/>
  <c r="J291" i="1"/>
  <c r="I291" i="1"/>
  <c r="H291" i="1"/>
  <c r="N290" i="1"/>
  <c r="M290" i="1"/>
  <c r="L290" i="1"/>
  <c r="K290" i="1"/>
  <c r="J290" i="1"/>
  <c r="I290" i="1"/>
  <c r="H290" i="1"/>
  <c r="N289" i="1"/>
  <c r="M289" i="1"/>
  <c r="L289" i="1"/>
  <c r="K289" i="1"/>
  <c r="J289" i="1"/>
  <c r="I289" i="1"/>
  <c r="H289" i="1"/>
  <c r="N288" i="1"/>
  <c r="M288" i="1"/>
  <c r="L288" i="1"/>
  <c r="K288" i="1"/>
  <c r="J288" i="1"/>
  <c r="I288" i="1"/>
  <c r="H288" i="1"/>
  <c r="N287" i="1"/>
  <c r="M287" i="1"/>
  <c r="L287" i="1"/>
  <c r="K287" i="1"/>
  <c r="J287" i="1"/>
  <c r="I287" i="1"/>
  <c r="H287" i="1"/>
  <c r="N286" i="1"/>
  <c r="M286" i="1"/>
  <c r="L286" i="1"/>
  <c r="K286" i="1"/>
  <c r="J286" i="1"/>
  <c r="I286" i="1"/>
  <c r="H286" i="1"/>
  <c r="N285" i="1"/>
  <c r="M285" i="1"/>
  <c r="L285" i="1"/>
  <c r="K285" i="1"/>
  <c r="J285" i="1"/>
  <c r="I285" i="1"/>
  <c r="H285" i="1"/>
  <c r="N283" i="1"/>
  <c r="M283" i="1"/>
  <c r="L283" i="1"/>
  <c r="K283" i="1"/>
  <c r="J283" i="1"/>
  <c r="I283" i="1"/>
  <c r="H283" i="1"/>
  <c r="N282" i="1"/>
  <c r="M282" i="1"/>
  <c r="L282" i="1"/>
  <c r="K282" i="1"/>
  <c r="J282" i="1"/>
  <c r="I282" i="1"/>
  <c r="H282" i="1"/>
  <c r="N281" i="1"/>
  <c r="M281" i="1"/>
  <c r="L281" i="1"/>
  <c r="K281" i="1"/>
  <c r="J281" i="1"/>
  <c r="I281" i="1"/>
  <c r="H281" i="1"/>
  <c r="N280" i="1"/>
  <c r="M280" i="1"/>
  <c r="L280" i="1"/>
  <c r="K280" i="1"/>
  <c r="J280" i="1"/>
  <c r="I280" i="1"/>
  <c r="H280" i="1"/>
  <c r="N279" i="1"/>
  <c r="M279" i="1"/>
  <c r="L279" i="1"/>
  <c r="K279" i="1"/>
  <c r="J279" i="1"/>
  <c r="I279" i="1"/>
  <c r="H279" i="1"/>
  <c r="N278" i="1"/>
  <c r="M278" i="1"/>
  <c r="L278" i="1"/>
  <c r="K278" i="1"/>
  <c r="J278" i="1"/>
  <c r="I278" i="1"/>
  <c r="H278" i="1"/>
  <c r="N277" i="1"/>
  <c r="M277" i="1"/>
  <c r="L277" i="1"/>
  <c r="K277" i="1"/>
  <c r="J277" i="1"/>
  <c r="I277" i="1"/>
  <c r="H277" i="1"/>
  <c r="N276" i="1"/>
  <c r="M276" i="1"/>
  <c r="L276" i="1"/>
  <c r="K276" i="1"/>
  <c r="J276" i="1"/>
  <c r="I276" i="1"/>
  <c r="H276" i="1"/>
  <c r="N275" i="1"/>
  <c r="M275" i="1"/>
  <c r="L275" i="1"/>
  <c r="K275" i="1"/>
  <c r="J275" i="1"/>
  <c r="I275" i="1"/>
  <c r="H275" i="1"/>
  <c r="N274" i="1"/>
  <c r="M274" i="1"/>
  <c r="L274" i="1"/>
  <c r="K274" i="1"/>
  <c r="J274" i="1"/>
  <c r="I274" i="1"/>
  <c r="H274" i="1"/>
  <c r="N273" i="1"/>
  <c r="M273" i="1"/>
  <c r="L273" i="1"/>
  <c r="K273" i="1"/>
  <c r="J273" i="1"/>
  <c r="I273" i="1"/>
  <c r="H273" i="1"/>
  <c r="N272" i="1"/>
  <c r="M272" i="1"/>
  <c r="L272" i="1"/>
  <c r="K272" i="1"/>
  <c r="J272" i="1"/>
  <c r="I272" i="1"/>
  <c r="H272" i="1"/>
  <c r="N271" i="1"/>
  <c r="M271" i="1"/>
  <c r="L271" i="1"/>
  <c r="K271" i="1"/>
  <c r="J271" i="1"/>
  <c r="I271" i="1"/>
  <c r="H271" i="1"/>
  <c r="N270" i="1"/>
  <c r="M270" i="1"/>
  <c r="L270" i="1"/>
  <c r="K270" i="1"/>
  <c r="J270" i="1"/>
  <c r="I270" i="1"/>
  <c r="H270" i="1"/>
  <c r="N269" i="1"/>
  <c r="M269" i="1"/>
  <c r="L269" i="1"/>
  <c r="K269" i="1"/>
  <c r="J269" i="1"/>
  <c r="I269" i="1"/>
  <c r="H269" i="1"/>
  <c r="N268" i="1"/>
  <c r="M268" i="1"/>
  <c r="L268" i="1"/>
  <c r="K268" i="1"/>
  <c r="J268" i="1"/>
  <c r="I268" i="1"/>
  <c r="H268" i="1"/>
  <c r="N267" i="1"/>
  <c r="M267" i="1"/>
  <c r="L267" i="1"/>
  <c r="K267" i="1"/>
  <c r="J267" i="1"/>
  <c r="I267" i="1"/>
  <c r="H267" i="1"/>
  <c r="N266" i="1"/>
  <c r="M266" i="1"/>
  <c r="L266" i="1"/>
  <c r="K266" i="1"/>
  <c r="J266" i="1"/>
  <c r="I266" i="1"/>
  <c r="H266" i="1"/>
  <c r="N265" i="1"/>
  <c r="M265" i="1"/>
  <c r="L265" i="1"/>
  <c r="K265" i="1"/>
  <c r="J265" i="1"/>
  <c r="I265" i="1"/>
  <c r="H265" i="1"/>
  <c r="N264" i="1"/>
  <c r="M264" i="1"/>
  <c r="L264" i="1"/>
  <c r="K264" i="1"/>
  <c r="J264" i="1"/>
  <c r="I264" i="1"/>
  <c r="H264" i="1"/>
  <c r="N263" i="1"/>
  <c r="M263" i="1"/>
  <c r="L263" i="1"/>
  <c r="K263" i="1"/>
  <c r="J263" i="1"/>
  <c r="I263" i="1"/>
  <c r="H263" i="1"/>
  <c r="N262" i="1"/>
  <c r="M262" i="1"/>
  <c r="L262" i="1"/>
  <c r="K262" i="1"/>
  <c r="J262" i="1"/>
  <c r="I262" i="1"/>
  <c r="H262" i="1"/>
  <c r="N261" i="1"/>
  <c r="M261" i="1"/>
  <c r="L261" i="1"/>
  <c r="K261" i="1"/>
  <c r="J261" i="1"/>
  <c r="I261" i="1"/>
  <c r="H261" i="1"/>
  <c r="N260" i="1"/>
  <c r="M260" i="1"/>
  <c r="L260" i="1"/>
  <c r="K260" i="1"/>
  <c r="J260" i="1"/>
  <c r="I260" i="1"/>
  <c r="H260" i="1"/>
  <c r="N259" i="1"/>
  <c r="M259" i="1"/>
  <c r="L259" i="1"/>
  <c r="K259" i="1"/>
  <c r="J259" i="1"/>
  <c r="I259" i="1"/>
  <c r="H259" i="1"/>
  <c r="N257" i="1"/>
  <c r="M257" i="1"/>
  <c r="L257" i="1"/>
  <c r="K257" i="1"/>
  <c r="J257" i="1"/>
  <c r="I257" i="1"/>
  <c r="H257" i="1"/>
  <c r="N256" i="1"/>
  <c r="M256" i="1"/>
  <c r="L256" i="1"/>
  <c r="K256" i="1"/>
  <c r="J256" i="1"/>
  <c r="I256" i="1"/>
  <c r="H256" i="1"/>
  <c r="N255" i="1"/>
  <c r="M255" i="1"/>
  <c r="L255" i="1"/>
  <c r="K255" i="1"/>
  <c r="J255" i="1"/>
  <c r="I255" i="1"/>
  <c r="H255" i="1"/>
  <c r="N254" i="1"/>
  <c r="M254" i="1"/>
  <c r="L254" i="1"/>
  <c r="K254" i="1"/>
  <c r="J254" i="1"/>
  <c r="I254" i="1"/>
  <c r="H254" i="1"/>
  <c r="N253" i="1"/>
  <c r="M253" i="1"/>
  <c r="L253" i="1"/>
  <c r="K253" i="1"/>
  <c r="J253" i="1"/>
  <c r="I253" i="1"/>
  <c r="H253" i="1"/>
  <c r="N252" i="1"/>
  <c r="M252" i="1"/>
  <c r="L252" i="1"/>
  <c r="K252" i="1"/>
  <c r="J252" i="1"/>
  <c r="I252" i="1"/>
  <c r="H252" i="1"/>
  <c r="N251" i="1"/>
  <c r="M251" i="1"/>
  <c r="L251" i="1"/>
  <c r="K251" i="1"/>
  <c r="J251" i="1"/>
  <c r="I251" i="1"/>
  <c r="H251" i="1"/>
  <c r="N250" i="1"/>
  <c r="M250" i="1"/>
  <c r="L250" i="1"/>
  <c r="K250" i="1"/>
  <c r="J250" i="1"/>
  <c r="I250" i="1"/>
  <c r="H250" i="1"/>
  <c r="N249" i="1"/>
  <c r="M249" i="1"/>
  <c r="L249" i="1"/>
  <c r="K249" i="1"/>
  <c r="J249" i="1"/>
  <c r="I249" i="1"/>
  <c r="H249" i="1"/>
  <c r="N248" i="1"/>
  <c r="M248" i="1"/>
  <c r="L248" i="1"/>
  <c r="O248" i="1" s="1"/>
  <c r="K248" i="1"/>
  <c r="J248" i="1"/>
  <c r="I248" i="1"/>
  <c r="H248" i="1"/>
  <c r="N247" i="1"/>
  <c r="M247" i="1"/>
  <c r="L247" i="1"/>
  <c r="K247" i="1"/>
  <c r="J247" i="1"/>
  <c r="I247" i="1"/>
  <c r="H247" i="1"/>
  <c r="N246" i="1"/>
  <c r="M246" i="1"/>
  <c r="L246" i="1"/>
  <c r="K246" i="1"/>
  <c r="J246" i="1"/>
  <c r="I246" i="1"/>
  <c r="H246" i="1"/>
  <c r="N245" i="1"/>
  <c r="M245" i="1"/>
  <c r="L245" i="1"/>
  <c r="K245" i="1"/>
  <c r="J245" i="1"/>
  <c r="I245" i="1"/>
  <c r="H245" i="1"/>
  <c r="N244" i="1"/>
  <c r="M244" i="1"/>
  <c r="L244" i="1"/>
  <c r="K244" i="1"/>
  <c r="J244" i="1"/>
  <c r="I244" i="1"/>
  <c r="H244" i="1"/>
  <c r="N243" i="1"/>
  <c r="M243" i="1"/>
  <c r="L243" i="1"/>
  <c r="K243" i="1"/>
  <c r="J243" i="1"/>
  <c r="I243" i="1"/>
  <c r="H243" i="1"/>
  <c r="N242" i="1"/>
  <c r="M242" i="1"/>
  <c r="L242" i="1"/>
  <c r="K242" i="1"/>
  <c r="J242" i="1"/>
  <c r="I242" i="1"/>
  <c r="H242" i="1"/>
  <c r="N241" i="1"/>
  <c r="M241" i="1"/>
  <c r="L241" i="1"/>
  <c r="K241" i="1"/>
  <c r="J241" i="1"/>
  <c r="I241" i="1"/>
  <c r="H241" i="1"/>
  <c r="N240" i="1"/>
  <c r="M240" i="1"/>
  <c r="L240" i="1"/>
  <c r="K240" i="1"/>
  <c r="J240" i="1"/>
  <c r="I240" i="1"/>
  <c r="H240" i="1"/>
  <c r="N239" i="1"/>
  <c r="M239" i="1"/>
  <c r="L239" i="1"/>
  <c r="K239" i="1"/>
  <c r="J239" i="1"/>
  <c r="I239" i="1"/>
  <c r="H239" i="1"/>
  <c r="N236" i="1"/>
  <c r="M236" i="1"/>
  <c r="L236" i="1"/>
  <c r="K236" i="1"/>
  <c r="J236" i="1"/>
  <c r="O236" i="1" s="1"/>
  <c r="I236" i="1"/>
  <c r="H236" i="1"/>
  <c r="N235" i="1"/>
  <c r="M235" i="1"/>
  <c r="L235" i="1"/>
  <c r="K235" i="1"/>
  <c r="J235" i="1"/>
  <c r="I235" i="1"/>
  <c r="H235" i="1"/>
  <c r="N234" i="1"/>
  <c r="M234" i="1"/>
  <c r="L234" i="1"/>
  <c r="K234" i="1"/>
  <c r="J234" i="1"/>
  <c r="I234" i="1"/>
  <c r="H234" i="1"/>
  <c r="N233" i="1"/>
  <c r="M233" i="1"/>
  <c r="L233" i="1"/>
  <c r="K233" i="1"/>
  <c r="J233" i="1"/>
  <c r="O233" i="1" s="1"/>
  <c r="I233" i="1"/>
  <c r="H233" i="1"/>
  <c r="N231" i="1"/>
  <c r="M231" i="1"/>
  <c r="L231" i="1"/>
  <c r="K231" i="1"/>
  <c r="J231" i="1"/>
  <c r="O231" i="1" s="1"/>
  <c r="I231" i="1"/>
  <c r="H231" i="1"/>
  <c r="N230" i="1"/>
  <c r="M230" i="1"/>
  <c r="L230" i="1"/>
  <c r="K230" i="1"/>
  <c r="J230" i="1"/>
  <c r="I230" i="1"/>
  <c r="H230" i="1"/>
  <c r="N229" i="1"/>
  <c r="M229" i="1"/>
  <c r="L229" i="1"/>
  <c r="K229" i="1"/>
  <c r="J229" i="1"/>
  <c r="I229" i="1"/>
  <c r="H229" i="1"/>
  <c r="N228" i="1"/>
  <c r="M228" i="1"/>
  <c r="L228" i="1"/>
  <c r="K228" i="1"/>
  <c r="J228" i="1"/>
  <c r="I228" i="1"/>
  <c r="H228" i="1"/>
  <c r="N227" i="1"/>
  <c r="M227" i="1"/>
  <c r="L227" i="1"/>
  <c r="K227" i="1"/>
  <c r="J227" i="1"/>
  <c r="I227" i="1"/>
  <c r="H227" i="1"/>
  <c r="N226" i="1"/>
  <c r="M226" i="1"/>
  <c r="L226" i="1"/>
  <c r="K226" i="1"/>
  <c r="J226" i="1"/>
  <c r="I226" i="1"/>
  <c r="H226" i="1"/>
  <c r="N225" i="1"/>
  <c r="M225" i="1"/>
  <c r="L225" i="1"/>
  <c r="K225" i="1"/>
  <c r="J225" i="1"/>
  <c r="I225" i="1"/>
  <c r="H225" i="1"/>
  <c r="N224" i="1"/>
  <c r="M224" i="1"/>
  <c r="L224" i="1"/>
  <c r="K224" i="1"/>
  <c r="J224" i="1"/>
  <c r="I224" i="1"/>
  <c r="H224" i="1"/>
  <c r="N223" i="1"/>
  <c r="M223" i="1"/>
  <c r="L223" i="1"/>
  <c r="K223" i="1"/>
  <c r="J223" i="1"/>
  <c r="I223" i="1"/>
  <c r="H223" i="1"/>
  <c r="N222" i="1"/>
  <c r="M222" i="1"/>
  <c r="L222" i="1"/>
  <c r="K222" i="1"/>
  <c r="J222" i="1"/>
  <c r="I222" i="1"/>
  <c r="H222" i="1"/>
  <c r="N221" i="1"/>
  <c r="M221" i="1"/>
  <c r="L221" i="1"/>
  <c r="K221" i="1"/>
  <c r="J221" i="1"/>
  <c r="I221" i="1"/>
  <c r="H221" i="1"/>
  <c r="N220" i="1"/>
  <c r="M220" i="1"/>
  <c r="L220" i="1"/>
  <c r="K220" i="1"/>
  <c r="J220" i="1"/>
  <c r="I220" i="1"/>
  <c r="H220" i="1"/>
  <c r="N218" i="1"/>
  <c r="M218" i="1"/>
  <c r="L218" i="1"/>
  <c r="K218" i="1"/>
  <c r="J218" i="1"/>
  <c r="O218" i="1" s="1"/>
  <c r="I218" i="1"/>
  <c r="H218" i="1"/>
  <c r="N217" i="1"/>
  <c r="M217" i="1"/>
  <c r="L217" i="1"/>
  <c r="K217" i="1"/>
  <c r="J217" i="1"/>
  <c r="I217" i="1"/>
  <c r="H217" i="1"/>
  <c r="N216" i="1"/>
  <c r="M216" i="1"/>
  <c r="L216" i="1"/>
  <c r="K216" i="1"/>
  <c r="J216" i="1"/>
  <c r="I216" i="1"/>
  <c r="H216" i="1"/>
  <c r="N215" i="1"/>
  <c r="M215" i="1"/>
  <c r="L215" i="1"/>
  <c r="K215" i="1"/>
  <c r="J215" i="1"/>
  <c r="I215" i="1"/>
  <c r="H215" i="1"/>
  <c r="N214" i="1"/>
  <c r="M214" i="1"/>
  <c r="L214" i="1"/>
  <c r="K214" i="1"/>
  <c r="J214" i="1"/>
  <c r="O214" i="1" s="1"/>
  <c r="I214" i="1"/>
  <c r="H214" i="1"/>
  <c r="N213" i="1"/>
  <c r="M213" i="1"/>
  <c r="L213" i="1"/>
  <c r="K213" i="1"/>
  <c r="J213" i="1"/>
  <c r="I213" i="1"/>
  <c r="H213" i="1"/>
  <c r="N212" i="1"/>
  <c r="M212" i="1"/>
  <c r="L212" i="1"/>
  <c r="K212" i="1"/>
  <c r="J212" i="1"/>
  <c r="I212" i="1"/>
  <c r="H212" i="1"/>
  <c r="N211" i="1"/>
  <c r="M211" i="1"/>
  <c r="L211" i="1"/>
  <c r="K211" i="1"/>
  <c r="J211" i="1"/>
  <c r="I211" i="1"/>
  <c r="H211" i="1"/>
  <c r="N210" i="1"/>
  <c r="M210" i="1"/>
  <c r="L210" i="1"/>
  <c r="K210" i="1"/>
  <c r="J210" i="1"/>
  <c r="I210" i="1"/>
  <c r="H210" i="1"/>
  <c r="N209" i="1"/>
  <c r="M209" i="1"/>
  <c r="L209" i="1"/>
  <c r="K209" i="1"/>
  <c r="J209" i="1"/>
  <c r="I209" i="1"/>
  <c r="H209" i="1"/>
  <c r="N208" i="1"/>
  <c r="M208" i="1"/>
  <c r="L208" i="1"/>
  <c r="K208" i="1"/>
  <c r="J208" i="1"/>
  <c r="I208" i="1"/>
  <c r="H208" i="1"/>
  <c r="N207" i="1"/>
  <c r="M207" i="1"/>
  <c r="L207" i="1"/>
  <c r="K207" i="1"/>
  <c r="J207" i="1"/>
  <c r="O207" i="1" s="1"/>
  <c r="I207" i="1"/>
  <c r="H207" i="1"/>
  <c r="N206" i="1"/>
  <c r="M206" i="1"/>
  <c r="L206" i="1"/>
  <c r="K206" i="1"/>
  <c r="J206" i="1"/>
  <c r="O206" i="1" s="1"/>
  <c r="I206" i="1"/>
  <c r="H206" i="1"/>
  <c r="N205" i="1"/>
  <c r="M205" i="1"/>
  <c r="L205" i="1"/>
  <c r="K205" i="1"/>
  <c r="J205" i="1"/>
  <c r="I205" i="1"/>
  <c r="H205" i="1"/>
  <c r="N204" i="1"/>
  <c r="M204" i="1"/>
  <c r="L204" i="1"/>
  <c r="K204" i="1"/>
  <c r="J204" i="1"/>
  <c r="I204" i="1"/>
  <c r="H204" i="1"/>
  <c r="N203" i="1"/>
  <c r="M203" i="1"/>
  <c r="L203" i="1"/>
  <c r="K203" i="1"/>
  <c r="J203" i="1"/>
  <c r="I203" i="1"/>
  <c r="H203" i="1"/>
  <c r="N202" i="1"/>
  <c r="M202" i="1"/>
  <c r="L202" i="1"/>
  <c r="K202" i="1"/>
  <c r="J202" i="1"/>
  <c r="O202" i="1" s="1"/>
  <c r="I202" i="1"/>
  <c r="H202" i="1"/>
  <c r="N201" i="1"/>
  <c r="M201" i="1"/>
  <c r="L201" i="1"/>
  <c r="K201" i="1"/>
  <c r="J201" i="1"/>
  <c r="O201" i="1" s="1"/>
  <c r="I201" i="1"/>
  <c r="H201" i="1"/>
  <c r="N200" i="1"/>
  <c r="M200" i="1"/>
  <c r="L200" i="1"/>
  <c r="K200" i="1"/>
  <c r="J200" i="1"/>
  <c r="I200" i="1"/>
  <c r="H200" i="1"/>
  <c r="N199" i="1"/>
  <c r="M199" i="1"/>
  <c r="L199" i="1"/>
  <c r="K199" i="1"/>
  <c r="J199" i="1"/>
  <c r="I199" i="1"/>
  <c r="H199" i="1"/>
  <c r="N198" i="1"/>
  <c r="M198" i="1"/>
  <c r="L198" i="1"/>
  <c r="K198" i="1"/>
  <c r="J198" i="1"/>
  <c r="I198" i="1"/>
  <c r="H198" i="1"/>
  <c r="N197" i="1"/>
  <c r="M197" i="1"/>
  <c r="L197" i="1"/>
  <c r="K197" i="1"/>
  <c r="J197" i="1"/>
  <c r="I197" i="1"/>
  <c r="H197" i="1"/>
  <c r="N196" i="1"/>
  <c r="M196" i="1"/>
  <c r="L196" i="1"/>
  <c r="K196" i="1"/>
  <c r="J196" i="1"/>
  <c r="I196" i="1"/>
  <c r="H196" i="1"/>
  <c r="N195" i="1"/>
  <c r="M195" i="1"/>
  <c r="L195" i="1"/>
  <c r="K195" i="1"/>
  <c r="J195" i="1"/>
  <c r="O195" i="1" s="1"/>
  <c r="I195" i="1"/>
  <c r="H195" i="1"/>
  <c r="N194" i="1"/>
  <c r="M194" i="1"/>
  <c r="L194" i="1"/>
  <c r="K194" i="1"/>
  <c r="J194" i="1"/>
  <c r="I194" i="1"/>
  <c r="H194" i="1"/>
  <c r="N193" i="1"/>
  <c r="M193" i="1"/>
  <c r="L193" i="1"/>
  <c r="K193" i="1"/>
  <c r="J193" i="1"/>
  <c r="O193" i="1" s="1"/>
  <c r="I193" i="1"/>
  <c r="H193" i="1"/>
  <c r="N192" i="1"/>
  <c r="M192" i="1"/>
  <c r="L192" i="1"/>
  <c r="K192" i="1"/>
  <c r="J192" i="1"/>
  <c r="I192" i="1"/>
  <c r="H192" i="1"/>
  <c r="N191" i="1"/>
  <c r="M191" i="1"/>
  <c r="L191" i="1"/>
  <c r="K191" i="1"/>
  <c r="J191" i="1"/>
  <c r="I191" i="1"/>
  <c r="H191" i="1"/>
  <c r="N190" i="1"/>
  <c r="M190" i="1"/>
  <c r="L190" i="1"/>
  <c r="K190" i="1"/>
  <c r="J190" i="1"/>
  <c r="I190" i="1"/>
  <c r="H190" i="1"/>
  <c r="N189" i="1"/>
  <c r="M189" i="1"/>
  <c r="L189" i="1"/>
  <c r="K189" i="1"/>
  <c r="J189" i="1"/>
  <c r="I189" i="1"/>
  <c r="H189" i="1"/>
  <c r="N188" i="1"/>
  <c r="M188" i="1"/>
  <c r="L188" i="1"/>
  <c r="K188" i="1"/>
  <c r="J188" i="1"/>
  <c r="I188" i="1"/>
  <c r="H188" i="1"/>
  <c r="N187" i="1"/>
  <c r="M187" i="1"/>
  <c r="L187" i="1"/>
  <c r="K187" i="1"/>
  <c r="J187" i="1"/>
  <c r="I187" i="1"/>
  <c r="H187" i="1"/>
  <c r="N186" i="1"/>
  <c r="M186" i="1"/>
  <c r="L186" i="1"/>
  <c r="K186" i="1"/>
  <c r="J186" i="1"/>
  <c r="I186" i="1"/>
  <c r="H186" i="1"/>
  <c r="N185" i="1"/>
  <c r="M185" i="1"/>
  <c r="L185" i="1"/>
  <c r="K185" i="1"/>
  <c r="J185" i="1"/>
  <c r="I185" i="1"/>
  <c r="H185" i="1"/>
  <c r="N184" i="1"/>
  <c r="M184" i="1"/>
  <c r="L184" i="1"/>
  <c r="K184" i="1"/>
  <c r="J184" i="1"/>
  <c r="I184" i="1"/>
  <c r="H184" i="1"/>
  <c r="N183" i="1"/>
  <c r="M183" i="1"/>
  <c r="L183" i="1"/>
  <c r="K183" i="1"/>
  <c r="J183" i="1"/>
  <c r="I183" i="1"/>
  <c r="H183" i="1"/>
  <c r="N182" i="1"/>
  <c r="M182" i="1"/>
  <c r="L182" i="1"/>
  <c r="K182" i="1"/>
  <c r="J182" i="1"/>
  <c r="O182" i="1" s="1"/>
  <c r="I182" i="1"/>
  <c r="H182" i="1"/>
  <c r="N181" i="1"/>
  <c r="M181" i="1"/>
  <c r="L181" i="1"/>
  <c r="K181" i="1"/>
  <c r="J181" i="1"/>
  <c r="I181" i="1"/>
  <c r="H181" i="1"/>
  <c r="N180" i="1"/>
  <c r="M180" i="1"/>
  <c r="L180" i="1"/>
  <c r="K180" i="1"/>
  <c r="J180" i="1"/>
  <c r="I180" i="1"/>
  <c r="H180" i="1"/>
  <c r="N179" i="1"/>
  <c r="M179" i="1"/>
  <c r="L179" i="1"/>
  <c r="K179" i="1"/>
  <c r="J179" i="1"/>
  <c r="I179" i="1"/>
  <c r="H179" i="1"/>
  <c r="N178" i="1"/>
  <c r="M178" i="1"/>
  <c r="L178" i="1"/>
  <c r="K178" i="1"/>
  <c r="J178" i="1"/>
  <c r="O178" i="1" s="1"/>
  <c r="I178" i="1"/>
  <c r="H178" i="1"/>
  <c r="N177" i="1"/>
  <c r="M177" i="1"/>
  <c r="L177" i="1"/>
  <c r="K177" i="1"/>
  <c r="J177" i="1"/>
  <c r="O177" i="1" s="1"/>
  <c r="I177" i="1"/>
  <c r="H177" i="1"/>
  <c r="N176" i="1"/>
  <c r="M176" i="1"/>
  <c r="L176" i="1"/>
  <c r="K176" i="1"/>
  <c r="J176" i="1"/>
  <c r="I176" i="1"/>
  <c r="H176" i="1"/>
  <c r="N175" i="1"/>
  <c r="M175" i="1"/>
  <c r="L175" i="1"/>
  <c r="K175" i="1"/>
  <c r="J175" i="1"/>
  <c r="I175" i="1"/>
  <c r="H175" i="1"/>
  <c r="N174" i="1"/>
  <c r="M174" i="1"/>
  <c r="L174" i="1"/>
  <c r="K174" i="1"/>
  <c r="J174" i="1"/>
  <c r="I174" i="1"/>
  <c r="H174" i="1"/>
  <c r="N173" i="1"/>
  <c r="M173" i="1"/>
  <c r="L173" i="1"/>
  <c r="K173" i="1"/>
  <c r="J173" i="1"/>
  <c r="I173" i="1"/>
  <c r="H173" i="1"/>
  <c r="N172" i="1"/>
  <c r="M172" i="1"/>
  <c r="L172" i="1"/>
  <c r="K172" i="1"/>
  <c r="J172" i="1"/>
  <c r="I172" i="1"/>
  <c r="H172" i="1"/>
  <c r="N171" i="1"/>
  <c r="M171" i="1"/>
  <c r="L171" i="1"/>
  <c r="K171" i="1"/>
  <c r="J171" i="1"/>
  <c r="I171" i="1"/>
  <c r="H171" i="1"/>
  <c r="N170" i="1"/>
  <c r="M170" i="1"/>
  <c r="L170" i="1"/>
  <c r="K170" i="1"/>
  <c r="J170" i="1"/>
  <c r="O170" i="1" s="1"/>
  <c r="I170" i="1"/>
  <c r="H170" i="1"/>
  <c r="N169" i="1"/>
  <c r="M169" i="1"/>
  <c r="L169" i="1"/>
  <c r="K169" i="1"/>
  <c r="J169" i="1"/>
  <c r="I169" i="1"/>
  <c r="H169" i="1"/>
  <c r="N167" i="1"/>
  <c r="M167" i="1"/>
  <c r="L167" i="1"/>
  <c r="K167" i="1"/>
  <c r="J167" i="1"/>
  <c r="I167" i="1"/>
  <c r="H167" i="1"/>
  <c r="N166" i="1"/>
  <c r="M166" i="1"/>
  <c r="L166" i="1"/>
  <c r="K166" i="1"/>
  <c r="J166" i="1"/>
  <c r="I166" i="1"/>
  <c r="H166" i="1"/>
  <c r="N165" i="1"/>
  <c r="M165" i="1"/>
  <c r="L165" i="1"/>
  <c r="K165" i="1"/>
  <c r="J165" i="1"/>
  <c r="O165" i="1" s="1"/>
  <c r="I165" i="1"/>
  <c r="H165" i="1"/>
  <c r="N164" i="1"/>
  <c r="M164" i="1"/>
  <c r="L164" i="1"/>
  <c r="K164" i="1"/>
  <c r="J164" i="1"/>
  <c r="I164" i="1"/>
  <c r="H164" i="1"/>
  <c r="N163" i="1"/>
  <c r="M163" i="1"/>
  <c r="L163" i="1"/>
  <c r="K163" i="1"/>
  <c r="J163" i="1"/>
  <c r="I163" i="1"/>
  <c r="H163" i="1"/>
  <c r="N162" i="1"/>
  <c r="M162" i="1"/>
  <c r="L162" i="1"/>
  <c r="K162" i="1"/>
  <c r="J162" i="1"/>
  <c r="I162" i="1"/>
  <c r="H162" i="1"/>
  <c r="N161" i="1"/>
  <c r="M161" i="1"/>
  <c r="L161" i="1"/>
  <c r="K161" i="1"/>
  <c r="J161" i="1"/>
  <c r="I161" i="1"/>
  <c r="H161" i="1"/>
  <c r="N160" i="1"/>
  <c r="M160" i="1"/>
  <c r="L160" i="1"/>
  <c r="K160" i="1"/>
  <c r="J160" i="1"/>
  <c r="I160" i="1"/>
  <c r="H160" i="1"/>
  <c r="N159" i="1"/>
  <c r="M159" i="1"/>
  <c r="L159" i="1"/>
  <c r="K159" i="1"/>
  <c r="J159" i="1"/>
  <c r="I159" i="1"/>
  <c r="H159" i="1"/>
  <c r="N158" i="1"/>
  <c r="M158" i="1"/>
  <c r="L158" i="1"/>
  <c r="K158" i="1"/>
  <c r="J158" i="1"/>
  <c r="I158" i="1"/>
  <c r="H158" i="1"/>
  <c r="N157" i="1"/>
  <c r="M157" i="1"/>
  <c r="L157" i="1"/>
  <c r="K157" i="1"/>
  <c r="J157" i="1"/>
  <c r="I157" i="1"/>
  <c r="H157" i="1"/>
  <c r="N156" i="1"/>
  <c r="M156" i="1"/>
  <c r="L156" i="1"/>
  <c r="K156" i="1"/>
  <c r="J156" i="1"/>
  <c r="I156" i="1"/>
  <c r="H156" i="1"/>
  <c r="N155" i="1"/>
  <c r="M155" i="1"/>
  <c r="L155" i="1"/>
  <c r="K155" i="1"/>
  <c r="J155" i="1"/>
  <c r="I155" i="1"/>
  <c r="H155" i="1"/>
  <c r="N154" i="1"/>
  <c r="M154" i="1"/>
  <c r="L154" i="1"/>
  <c r="K154" i="1"/>
  <c r="J154" i="1"/>
  <c r="O154" i="1" s="1"/>
  <c r="I154" i="1"/>
  <c r="H154" i="1"/>
  <c r="N153" i="1"/>
  <c r="M153" i="1"/>
  <c r="L153" i="1"/>
  <c r="K153" i="1"/>
  <c r="J153" i="1"/>
  <c r="O153" i="1" s="1"/>
  <c r="I153" i="1"/>
  <c r="H153" i="1"/>
  <c r="N152" i="1"/>
  <c r="M152" i="1"/>
  <c r="L152" i="1"/>
  <c r="K152" i="1"/>
  <c r="J152" i="1"/>
  <c r="O152" i="1" s="1"/>
  <c r="I152" i="1"/>
  <c r="H152" i="1"/>
  <c r="N151" i="1"/>
  <c r="M151" i="1"/>
  <c r="L151" i="1"/>
  <c r="K151" i="1"/>
  <c r="J151" i="1"/>
  <c r="I151" i="1"/>
  <c r="H151" i="1"/>
  <c r="N150" i="1"/>
  <c r="M150" i="1"/>
  <c r="L150" i="1"/>
  <c r="K150" i="1"/>
  <c r="J150" i="1"/>
  <c r="I150" i="1"/>
  <c r="H150" i="1"/>
  <c r="N149" i="1"/>
  <c r="M149" i="1"/>
  <c r="L149" i="1"/>
  <c r="K149" i="1"/>
  <c r="J149" i="1"/>
  <c r="I149" i="1"/>
  <c r="H149" i="1"/>
  <c r="N148" i="1"/>
  <c r="M148" i="1"/>
  <c r="L148" i="1"/>
  <c r="K148" i="1"/>
  <c r="J148" i="1"/>
  <c r="I148" i="1"/>
  <c r="H148" i="1"/>
  <c r="N147" i="1"/>
  <c r="M147" i="1"/>
  <c r="L147" i="1"/>
  <c r="K147" i="1"/>
  <c r="J147" i="1"/>
  <c r="I147" i="1"/>
  <c r="H147" i="1"/>
  <c r="N146" i="1"/>
  <c r="M146" i="1"/>
  <c r="L146" i="1"/>
  <c r="K146" i="1"/>
  <c r="J146" i="1"/>
  <c r="O146" i="1" s="1"/>
  <c r="I146" i="1"/>
  <c r="H146" i="1"/>
  <c r="N145" i="1"/>
  <c r="M145" i="1"/>
  <c r="L145" i="1"/>
  <c r="K145" i="1"/>
  <c r="J145" i="1"/>
  <c r="I145" i="1"/>
  <c r="H145" i="1"/>
  <c r="N144" i="1"/>
  <c r="M144" i="1"/>
  <c r="L144" i="1"/>
  <c r="K144" i="1"/>
  <c r="J144" i="1"/>
  <c r="I144" i="1"/>
  <c r="H144" i="1"/>
  <c r="N143" i="1"/>
  <c r="M143" i="1"/>
  <c r="L143" i="1"/>
  <c r="K143" i="1"/>
  <c r="J143" i="1"/>
  <c r="I143" i="1"/>
  <c r="H143" i="1"/>
  <c r="N142" i="1"/>
  <c r="M142" i="1"/>
  <c r="L142" i="1"/>
  <c r="K142" i="1"/>
  <c r="J142" i="1"/>
  <c r="I142" i="1"/>
  <c r="H142" i="1"/>
  <c r="N140" i="1"/>
  <c r="M140" i="1"/>
  <c r="L140" i="1"/>
  <c r="K140" i="1"/>
  <c r="J140" i="1"/>
  <c r="O140" i="1" s="1"/>
  <c r="I140" i="1"/>
  <c r="H140" i="1"/>
  <c r="N139" i="1"/>
  <c r="M139" i="1"/>
  <c r="L139" i="1"/>
  <c r="K139" i="1"/>
  <c r="J139" i="1"/>
  <c r="I139" i="1"/>
  <c r="H139" i="1"/>
  <c r="N138" i="1"/>
  <c r="M138" i="1"/>
  <c r="L138" i="1"/>
  <c r="K138" i="1"/>
  <c r="J138" i="1"/>
  <c r="I138" i="1"/>
  <c r="H138" i="1"/>
  <c r="N137" i="1"/>
  <c r="M137" i="1"/>
  <c r="L137" i="1"/>
  <c r="K137" i="1"/>
  <c r="J137" i="1"/>
  <c r="I137" i="1"/>
  <c r="H137" i="1"/>
  <c r="N136" i="1"/>
  <c r="M136" i="1"/>
  <c r="L136" i="1"/>
  <c r="K136" i="1"/>
  <c r="J136" i="1"/>
  <c r="I136" i="1"/>
  <c r="H136" i="1"/>
  <c r="N135" i="1"/>
  <c r="M135" i="1"/>
  <c r="L135" i="1"/>
  <c r="K135" i="1"/>
  <c r="J135" i="1"/>
  <c r="O135" i="1" s="1"/>
  <c r="I135" i="1"/>
  <c r="H135" i="1"/>
  <c r="N134" i="1"/>
  <c r="M134" i="1"/>
  <c r="L134" i="1"/>
  <c r="K134" i="1"/>
  <c r="J134" i="1"/>
  <c r="I134" i="1"/>
  <c r="H134" i="1"/>
  <c r="N133" i="1"/>
  <c r="M133" i="1"/>
  <c r="L133" i="1"/>
  <c r="K133" i="1"/>
  <c r="J133" i="1"/>
  <c r="O133" i="1" s="1"/>
  <c r="I133" i="1"/>
  <c r="H133" i="1"/>
  <c r="N132" i="1"/>
  <c r="M132" i="1"/>
  <c r="L132" i="1"/>
  <c r="K132" i="1"/>
  <c r="J132" i="1"/>
  <c r="I132" i="1"/>
  <c r="H132" i="1"/>
  <c r="N131" i="1"/>
  <c r="M131" i="1"/>
  <c r="L131" i="1"/>
  <c r="K131" i="1"/>
  <c r="J131" i="1"/>
  <c r="I131" i="1"/>
  <c r="H131" i="1"/>
  <c r="N130" i="1"/>
  <c r="M130" i="1"/>
  <c r="L130" i="1"/>
  <c r="K130" i="1"/>
  <c r="J130" i="1"/>
  <c r="I130" i="1"/>
  <c r="H130" i="1"/>
  <c r="N129" i="1"/>
  <c r="M129" i="1"/>
  <c r="L129" i="1"/>
  <c r="K129" i="1"/>
  <c r="J129" i="1"/>
  <c r="O129" i="1" s="1"/>
  <c r="I129" i="1"/>
  <c r="H129" i="1"/>
  <c r="N128" i="1"/>
  <c r="M128" i="1"/>
  <c r="L128" i="1"/>
  <c r="K128" i="1"/>
  <c r="J128" i="1"/>
  <c r="O128" i="1" s="1"/>
  <c r="I128" i="1"/>
  <c r="H128" i="1"/>
  <c r="N127" i="1"/>
  <c r="M127" i="1"/>
  <c r="L127" i="1"/>
  <c r="K127" i="1"/>
  <c r="J127" i="1"/>
  <c r="I127" i="1"/>
  <c r="H127" i="1"/>
  <c r="N126" i="1"/>
  <c r="M126" i="1"/>
  <c r="L126" i="1"/>
  <c r="K126" i="1"/>
  <c r="J126" i="1"/>
  <c r="I126" i="1"/>
  <c r="H126" i="1"/>
  <c r="N125" i="1"/>
  <c r="M125" i="1"/>
  <c r="L125" i="1"/>
  <c r="K125" i="1"/>
  <c r="J125" i="1"/>
  <c r="I125" i="1"/>
  <c r="H125" i="1"/>
  <c r="N124" i="1"/>
  <c r="M124" i="1"/>
  <c r="L124" i="1"/>
  <c r="K124" i="1"/>
  <c r="J124" i="1"/>
  <c r="I124" i="1"/>
  <c r="H124" i="1"/>
  <c r="N123" i="1"/>
  <c r="M123" i="1"/>
  <c r="L123" i="1"/>
  <c r="K123" i="1"/>
  <c r="J123" i="1"/>
  <c r="O123" i="1" s="1"/>
  <c r="I123" i="1"/>
  <c r="H123" i="1"/>
  <c r="N122" i="1"/>
  <c r="M122" i="1"/>
  <c r="L122" i="1"/>
  <c r="K122" i="1"/>
  <c r="J122" i="1"/>
  <c r="O122" i="1" s="1"/>
  <c r="I122" i="1"/>
  <c r="H122" i="1"/>
  <c r="N119" i="1"/>
  <c r="M119" i="1"/>
  <c r="L119" i="1"/>
  <c r="K119" i="1"/>
  <c r="J119" i="1"/>
  <c r="I119" i="1"/>
  <c r="H119" i="1"/>
  <c r="N118" i="1"/>
  <c r="M118" i="1"/>
  <c r="L118" i="1"/>
  <c r="K118" i="1"/>
  <c r="J118" i="1"/>
  <c r="I118" i="1"/>
  <c r="H118" i="1"/>
  <c r="N117" i="1"/>
  <c r="M117" i="1"/>
  <c r="L117" i="1"/>
  <c r="K117" i="1"/>
  <c r="J117" i="1"/>
  <c r="I117" i="1"/>
  <c r="H117" i="1"/>
  <c r="N116" i="1"/>
  <c r="M116" i="1"/>
  <c r="L116" i="1"/>
  <c r="K116" i="1"/>
  <c r="J116" i="1"/>
  <c r="I116" i="1"/>
  <c r="H116" i="1"/>
  <c r="N114" i="1"/>
  <c r="M114" i="1"/>
  <c r="L114" i="1"/>
  <c r="K114" i="1"/>
  <c r="J114" i="1"/>
  <c r="I114" i="1"/>
  <c r="H114" i="1"/>
  <c r="N113" i="1"/>
  <c r="M113" i="1"/>
  <c r="L113" i="1"/>
  <c r="K113" i="1"/>
  <c r="J113" i="1"/>
  <c r="I113" i="1"/>
  <c r="H113" i="1"/>
  <c r="N112" i="1"/>
  <c r="M112" i="1"/>
  <c r="L112" i="1"/>
  <c r="K112" i="1"/>
  <c r="J112" i="1"/>
  <c r="I112" i="1"/>
  <c r="H112" i="1"/>
  <c r="N111" i="1"/>
  <c r="M111" i="1"/>
  <c r="L111" i="1"/>
  <c r="K111" i="1"/>
  <c r="J111" i="1"/>
  <c r="I111" i="1"/>
  <c r="H111" i="1"/>
  <c r="N110" i="1"/>
  <c r="M110" i="1"/>
  <c r="L110" i="1"/>
  <c r="K110" i="1"/>
  <c r="J110" i="1"/>
  <c r="I110" i="1"/>
  <c r="H110" i="1"/>
  <c r="N109" i="1"/>
  <c r="M109" i="1"/>
  <c r="L109" i="1"/>
  <c r="K109" i="1"/>
  <c r="J109" i="1"/>
  <c r="I109" i="1"/>
  <c r="H109" i="1"/>
  <c r="N108" i="1"/>
  <c r="M108" i="1"/>
  <c r="L108" i="1"/>
  <c r="K108" i="1"/>
  <c r="J108" i="1"/>
  <c r="I108" i="1"/>
  <c r="H108" i="1"/>
  <c r="N107" i="1"/>
  <c r="M107" i="1"/>
  <c r="L107" i="1"/>
  <c r="K107" i="1"/>
  <c r="J107" i="1"/>
  <c r="I107" i="1"/>
  <c r="H107" i="1"/>
  <c r="N106" i="1"/>
  <c r="M106" i="1"/>
  <c r="L106" i="1"/>
  <c r="K106" i="1"/>
  <c r="J106" i="1"/>
  <c r="I106" i="1"/>
  <c r="H106" i="1"/>
  <c r="N105" i="1"/>
  <c r="M105" i="1"/>
  <c r="L105" i="1"/>
  <c r="K105" i="1"/>
  <c r="J105" i="1"/>
  <c r="I105" i="1"/>
  <c r="H105" i="1"/>
  <c r="N104" i="1"/>
  <c r="M104" i="1"/>
  <c r="L104" i="1"/>
  <c r="K104" i="1"/>
  <c r="J104" i="1"/>
  <c r="I104" i="1"/>
  <c r="H104" i="1"/>
  <c r="N103" i="1"/>
  <c r="M103" i="1"/>
  <c r="L103" i="1"/>
  <c r="K103" i="1"/>
  <c r="J103" i="1"/>
  <c r="I103" i="1"/>
  <c r="H103" i="1"/>
  <c r="N101" i="1"/>
  <c r="M101" i="1"/>
  <c r="L101" i="1"/>
  <c r="K101" i="1"/>
  <c r="J101" i="1"/>
  <c r="I101" i="1"/>
  <c r="H101" i="1"/>
  <c r="N100" i="1"/>
  <c r="M100" i="1"/>
  <c r="L100" i="1"/>
  <c r="K100" i="1"/>
  <c r="J100" i="1"/>
  <c r="I100" i="1"/>
  <c r="H100" i="1"/>
  <c r="N99" i="1"/>
  <c r="M99" i="1"/>
  <c r="L99" i="1"/>
  <c r="K99" i="1"/>
  <c r="J99" i="1"/>
  <c r="I99" i="1"/>
  <c r="H99" i="1"/>
  <c r="N98" i="1"/>
  <c r="M98" i="1"/>
  <c r="L98" i="1"/>
  <c r="K98" i="1"/>
  <c r="J98" i="1"/>
  <c r="I98" i="1"/>
  <c r="H98" i="1"/>
  <c r="N97" i="1"/>
  <c r="M97" i="1"/>
  <c r="L97" i="1"/>
  <c r="K97" i="1"/>
  <c r="J97" i="1"/>
  <c r="I97" i="1"/>
  <c r="H97" i="1"/>
  <c r="N96" i="1"/>
  <c r="M96" i="1"/>
  <c r="L96" i="1"/>
  <c r="K96" i="1"/>
  <c r="J96" i="1"/>
  <c r="I96" i="1"/>
  <c r="H96" i="1"/>
  <c r="N95" i="1"/>
  <c r="M95" i="1"/>
  <c r="L95" i="1"/>
  <c r="K95" i="1"/>
  <c r="J95" i="1"/>
  <c r="I95" i="1"/>
  <c r="H95" i="1"/>
  <c r="N94" i="1"/>
  <c r="M94" i="1"/>
  <c r="L94" i="1"/>
  <c r="K94" i="1"/>
  <c r="J94" i="1"/>
  <c r="I94" i="1"/>
  <c r="H94" i="1"/>
  <c r="N93" i="1"/>
  <c r="M93" i="1"/>
  <c r="L93" i="1"/>
  <c r="K93" i="1"/>
  <c r="J93" i="1"/>
  <c r="I93" i="1"/>
  <c r="H93" i="1"/>
  <c r="N92" i="1"/>
  <c r="M92" i="1"/>
  <c r="L92" i="1"/>
  <c r="K92" i="1"/>
  <c r="J92" i="1"/>
  <c r="I92" i="1"/>
  <c r="H92" i="1"/>
  <c r="N91" i="1"/>
  <c r="M91" i="1"/>
  <c r="L91" i="1"/>
  <c r="K91" i="1"/>
  <c r="J91" i="1"/>
  <c r="I91" i="1"/>
  <c r="H91" i="1"/>
  <c r="N90" i="1"/>
  <c r="M90" i="1"/>
  <c r="L90" i="1"/>
  <c r="K90" i="1"/>
  <c r="J90" i="1"/>
  <c r="I90" i="1"/>
  <c r="H90" i="1"/>
  <c r="N89" i="1"/>
  <c r="M89" i="1"/>
  <c r="L89" i="1"/>
  <c r="K89" i="1"/>
  <c r="J89" i="1"/>
  <c r="I89" i="1"/>
  <c r="H89" i="1"/>
  <c r="N88" i="1"/>
  <c r="M88" i="1"/>
  <c r="L88" i="1"/>
  <c r="K88" i="1"/>
  <c r="J88" i="1"/>
  <c r="I88" i="1"/>
  <c r="H88" i="1"/>
  <c r="N87" i="1"/>
  <c r="M87" i="1"/>
  <c r="L87" i="1"/>
  <c r="K87" i="1"/>
  <c r="J87" i="1"/>
  <c r="I87" i="1"/>
  <c r="H87" i="1"/>
  <c r="N86" i="1"/>
  <c r="M86" i="1"/>
  <c r="L86" i="1"/>
  <c r="K86" i="1"/>
  <c r="J86" i="1"/>
  <c r="I86" i="1"/>
  <c r="H86" i="1"/>
  <c r="N85" i="1"/>
  <c r="M85" i="1"/>
  <c r="L85" i="1"/>
  <c r="K85" i="1"/>
  <c r="J85" i="1"/>
  <c r="I85" i="1"/>
  <c r="H85" i="1"/>
  <c r="N84" i="1"/>
  <c r="M84" i="1"/>
  <c r="L84" i="1"/>
  <c r="K84" i="1"/>
  <c r="J84" i="1"/>
  <c r="I84" i="1"/>
  <c r="H84" i="1"/>
  <c r="N83" i="1"/>
  <c r="M83" i="1"/>
  <c r="L83" i="1"/>
  <c r="K83" i="1"/>
  <c r="J83" i="1"/>
  <c r="I83" i="1"/>
  <c r="H83" i="1"/>
  <c r="N82" i="1"/>
  <c r="M82" i="1"/>
  <c r="L82" i="1"/>
  <c r="K82" i="1"/>
  <c r="J82" i="1"/>
  <c r="I82" i="1"/>
  <c r="H82" i="1"/>
  <c r="N81" i="1"/>
  <c r="M81" i="1"/>
  <c r="L81" i="1"/>
  <c r="K81" i="1"/>
  <c r="J81" i="1"/>
  <c r="I81" i="1"/>
  <c r="H81" i="1"/>
  <c r="N80" i="1"/>
  <c r="M80" i="1"/>
  <c r="L80" i="1"/>
  <c r="K80" i="1"/>
  <c r="J80" i="1"/>
  <c r="I80" i="1"/>
  <c r="H80" i="1"/>
  <c r="N79" i="1"/>
  <c r="M79" i="1"/>
  <c r="L79" i="1"/>
  <c r="K79" i="1"/>
  <c r="J79" i="1"/>
  <c r="I79" i="1"/>
  <c r="H79" i="1"/>
  <c r="N78" i="1"/>
  <c r="M78" i="1"/>
  <c r="L78" i="1"/>
  <c r="K78" i="1"/>
  <c r="J78" i="1"/>
  <c r="I78" i="1"/>
  <c r="H78" i="1"/>
  <c r="N77" i="1"/>
  <c r="M77" i="1"/>
  <c r="L77" i="1"/>
  <c r="K77" i="1"/>
  <c r="J77" i="1"/>
  <c r="I77" i="1"/>
  <c r="H77" i="1"/>
  <c r="N76" i="1"/>
  <c r="M76" i="1"/>
  <c r="L76" i="1"/>
  <c r="K76" i="1"/>
  <c r="J76" i="1"/>
  <c r="I76" i="1"/>
  <c r="H76" i="1"/>
  <c r="N75" i="1"/>
  <c r="M75" i="1"/>
  <c r="L75" i="1"/>
  <c r="K75" i="1"/>
  <c r="J75" i="1"/>
  <c r="I75" i="1"/>
  <c r="H75" i="1"/>
  <c r="N74" i="1"/>
  <c r="M74" i="1"/>
  <c r="L74" i="1"/>
  <c r="K74" i="1"/>
  <c r="J74" i="1"/>
  <c r="I74" i="1"/>
  <c r="H74" i="1"/>
  <c r="N73" i="1"/>
  <c r="M73" i="1"/>
  <c r="L73" i="1"/>
  <c r="K73" i="1"/>
  <c r="J73" i="1"/>
  <c r="I73" i="1"/>
  <c r="H73" i="1"/>
  <c r="N72" i="1"/>
  <c r="M72" i="1"/>
  <c r="L72" i="1"/>
  <c r="K72" i="1"/>
  <c r="J72" i="1"/>
  <c r="I72" i="1"/>
  <c r="H72" i="1"/>
  <c r="N71" i="1"/>
  <c r="M71" i="1"/>
  <c r="L71" i="1"/>
  <c r="K71" i="1"/>
  <c r="J71" i="1"/>
  <c r="I71" i="1"/>
  <c r="H71" i="1"/>
  <c r="N70" i="1"/>
  <c r="M70" i="1"/>
  <c r="L70" i="1"/>
  <c r="K70" i="1"/>
  <c r="J70" i="1"/>
  <c r="I70" i="1"/>
  <c r="H70" i="1"/>
  <c r="N69" i="1"/>
  <c r="M69" i="1"/>
  <c r="L69" i="1"/>
  <c r="K69" i="1"/>
  <c r="J69" i="1"/>
  <c r="I69" i="1"/>
  <c r="H69" i="1"/>
  <c r="N68" i="1"/>
  <c r="M68" i="1"/>
  <c r="L68" i="1"/>
  <c r="K68" i="1"/>
  <c r="J68" i="1"/>
  <c r="I68" i="1"/>
  <c r="H68" i="1"/>
  <c r="N67" i="1"/>
  <c r="M67" i="1"/>
  <c r="L67" i="1"/>
  <c r="K67" i="1"/>
  <c r="J67" i="1"/>
  <c r="I67" i="1"/>
  <c r="H67" i="1"/>
  <c r="N66" i="1"/>
  <c r="M66" i="1"/>
  <c r="L66" i="1"/>
  <c r="K66" i="1"/>
  <c r="J66" i="1"/>
  <c r="I66" i="1"/>
  <c r="H66" i="1"/>
  <c r="N65" i="1"/>
  <c r="M65" i="1"/>
  <c r="L65" i="1"/>
  <c r="K65" i="1"/>
  <c r="J65" i="1"/>
  <c r="I65" i="1"/>
  <c r="H65" i="1"/>
  <c r="N64" i="1"/>
  <c r="M64" i="1"/>
  <c r="L64" i="1"/>
  <c r="K64" i="1"/>
  <c r="J64" i="1"/>
  <c r="I64" i="1"/>
  <c r="H64" i="1"/>
  <c r="N63" i="1"/>
  <c r="M63" i="1"/>
  <c r="L63" i="1"/>
  <c r="K63" i="1"/>
  <c r="J63" i="1"/>
  <c r="I63" i="1"/>
  <c r="H63" i="1"/>
  <c r="N62" i="1"/>
  <c r="M62" i="1"/>
  <c r="L62" i="1"/>
  <c r="K62" i="1"/>
  <c r="J62" i="1"/>
  <c r="I62" i="1"/>
  <c r="H62" i="1"/>
  <c r="N61" i="1"/>
  <c r="M61" i="1"/>
  <c r="L61" i="1"/>
  <c r="K61" i="1"/>
  <c r="J61" i="1"/>
  <c r="I61" i="1"/>
  <c r="H61" i="1"/>
  <c r="N60" i="1"/>
  <c r="M60" i="1"/>
  <c r="L60" i="1"/>
  <c r="K60" i="1"/>
  <c r="J60" i="1"/>
  <c r="I60" i="1"/>
  <c r="H60" i="1"/>
  <c r="N59" i="1"/>
  <c r="M59" i="1"/>
  <c r="L59" i="1"/>
  <c r="K59" i="1"/>
  <c r="J59" i="1"/>
  <c r="I59" i="1"/>
  <c r="H59" i="1"/>
  <c r="N58" i="1"/>
  <c r="M58" i="1"/>
  <c r="L58" i="1"/>
  <c r="K58" i="1"/>
  <c r="J58" i="1"/>
  <c r="I58" i="1"/>
  <c r="H58" i="1"/>
  <c r="N57" i="1"/>
  <c r="M57" i="1"/>
  <c r="L57" i="1"/>
  <c r="K57" i="1"/>
  <c r="J57" i="1"/>
  <c r="I57" i="1"/>
  <c r="H57" i="1"/>
  <c r="N56" i="1"/>
  <c r="M56" i="1"/>
  <c r="L56" i="1"/>
  <c r="K56" i="1"/>
  <c r="J56" i="1"/>
  <c r="I56" i="1"/>
  <c r="H56" i="1"/>
  <c r="N55" i="1"/>
  <c r="M55" i="1"/>
  <c r="L55" i="1"/>
  <c r="K55" i="1"/>
  <c r="J55" i="1"/>
  <c r="I55" i="1"/>
  <c r="H55" i="1"/>
  <c r="N54" i="1"/>
  <c r="M54" i="1"/>
  <c r="L54" i="1"/>
  <c r="K54" i="1"/>
  <c r="J54" i="1"/>
  <c r="I54" i="1"/>
  <c r="H54" i="1"/>
  <c r="N53" i="1"/>
  <c r="M53" i="1"/>
  <c r="L53" i="1"/>
  <c r="K53" i="1"/>
  <c r="J53" i="1"/>
  <c r="I53" i="1"/>
  <c r="H53" i="1"/>
  <c r="N52" i="1"/>
  <c r="M52" i="1"/>
  <c r="L52" i="1"/>
  <c r="K52" i="1"/>
  <c r="J52" i="1"/>
  <c r="I52" i="1"/>
  <c r="H52" i="1"/>
  <c r="N50" i="1"/>
  <c r="M50" i="1"/>
  <c r="L50" i="1"/>
  <c r="K50" i="1"/>
  <c r="J50" i="1"/>
  <c r="O50" i="1" s="1"/>
  <c r="I50" i="1"/>
  <c r="H50" i="1"/>
  <c r="N49" i="1"/>
  <c r="M49" i="1"/>
  <c r="L49" i="1"/>
  <c r="K49" i="1"/>
  <c r="J49" i="1"/>
  <c r="I49" i="1"/>
  <c r="H49" i="1"/>
  <c r="N48" i="1"/>
  <c r="M48" i="1"/>
  <c r="L48" i="1"/>
  <c r="K48" i="1"/>
  <c r="J48" i="1"/>
  <c r="I48" i="1"/>
  <c r="H48" i="1"/>
  <c r="N47" i="1"/>
  <c r="M47" i="1"/>
  <c r="L47" i="1"/>
  <c r="K47" i="1"/>
  <c r="J47" i="1"/>
  <c r="O47" i="1" s="1"/>
  <c r="I47" i="1"/>
  <c r="H47" i="1"/>
  <c r="N46" i="1"/>
  <c r="M46" i="1"/>
  <c r="L46" i="1"/>
  <c r="K46" i="1"/>
  <c r="J46" i="1"/>
  <c r="I46" i="1"/>
  <c r="H46" i="1"/>
  <c r="N45" i="1"/>
  <c r="M45" i="1"/>
  <c r="L45" i="1"/>
  <c r="K45" i="1"/>
  <c r="J45" i="1"/>
  <c r="O45" i="1" s="1"/>
  <c r="I45" i="1"/>
  <c r="H45" i="1"/>
  <c r="N44" i="1"/>
  <c r="M44" i="1"/>
  <c r="L44" i="1"/>
  <c r="K44" i="1"/>
  <c r="J44" i="1"/>
  <c r="O44" i="1" s="1"/>
  <c r="I44" i="1"/>
  <c r="H44" i="1"/>
  <c r="N43" i="1"/>
  <c r="M43" i="1"/>
  <c r="L43" i="1"/>
  <c r="K43" i="1"/>
  <c r="J43" i="1"/>
  <c r="O43" i="1" s="1"/>
  <c r="I43" i="1"/>
  <c r="H43" i="1"/>
  <c r="N42" i="1"/>
  <c r="M42" i="1"/>
  <c r="L42" i="1"/>
  <c r="K42" i="1"/>
  <c r="J42" i="1"/>
  <c r="I42" i="1"/>
  <c r="H42" i="1"/>
  <c r="N41" i="1"/>
  <c r="M41" i="1"/>
  <c r="L41" i="1"/>
  <c r="K41" i="1"/>
  <c r="J41" i="1"/>
  <c r="I41" i="1"/>
  <c r="H41" i="1"/>
  <c r="N40" i="1"/>
  <c r="M40" i="1"/>
  <c r="L40" i="1"/>
  <c r="K40" i="1"/>
  <c r="J40" i="1"/>
  <c r="O40" i="1" s="1"/>
  <c r="I40" i="1"/>
  <c r="H40" i="1"/>
  <c r="N39" i="1"/>
  <c r="M39" i="1"/>
  <c r="L39" i="1"/>
  <c r="K39" i="1"/>
  <c r="J39" i="1"/>
  <c r="I39" i="1"/>
  <c r="H39" i="1"/>
  <c r="N38" i="1"/>
  <c r="M38" i="1"/>
  <c r="L38" i="1"/>
  <c r="K38" i="1"/>
  <c r="J38" i="1"/>
  <c r="I38" i="1"/>
  <c r="H38" i="1"/>
  <c r="N37" i="1"/>
  <c r="M37" i="1"/>
  <c r="L37" i="1"/>
  <c r="K37" i="1"/>
  <c r="J37" i="1"/>
  <c r="O37" i="1" s="1"/>
  <c r="I37" i="1"/>
  <c r="H37" i="1"/>
  <c r="N36" i="1"/>
  <c r="M36" i="1"/>
  <c r="L36" i="1"/>
  <c r="K36" i="1"/>
  <c r="J36" i="1"/>
  <c r="O36" i="1" s="1"/>
  <c r="I36" i="1"/>
  <c r="H36" i="1"/>
  <c r="N35" i="1"/>
  <c r="M35" i="1"/>
  <c r="L35" i="1"/>
  <c r="K35" i="1"/>
  <c r="J35" i="1"/>
  <c r="O35" i="1" s="1"/>
  <c r="I35" i="1"/>
  <c r="H35" i="1"/>
  <c r="N34" i="1"/>
  <c r="M34" i="1"/>
  <c r="L34" i="1"/>
  <c r="K34" i="1"/>
  <c r="J34" i="1"/>
  <c r="I34" i="1"/>
  <c r="H34" i="1"/>
  <c r="N33" i="1"/>
  <c r="M33" i="1"/>
  <c r="L33" i="1"/>
  <c r="K33" i="1"/>
  <c r="J33" i="1"/>
  <c r="I33" i="1"/>
  <c r="H33" i="1"/>
  <c r="N32" i="1"/>
  <c r="M32" i="1"/>
  <c r="L32" i="1"/>
  <c r="K32" i="1"/>
  <c r="J32" i="1"/>
  <c r="O32" i="1" s="1"/>
  <c r="I32" i="1"/>
  <c r="H32" i="1"/>
  <c r="N31" i="1"/>
  <c r="M31" i="1"/>
  <c r="L31" i="1"/>
  <c r="K31" i="1"/>
  <c r="J31" i="1"/>
  <c r="I31" i="1"/>
  <c r="H31" i="1"/>
  <c r="N30" i="1"/>
  <c r="M30" i="1"/>
  <c r="L30" i="1"/>
  <c r="K30" i="1"/>
  <c r="J30" i="1"/>
  <c r="I30" i="1"/>
  <c r="H30" i="1"/>
  <c r="N29" i="1"/>
  <c r="M29" i="1"/>
  <c r="L29" i="1"/>
  <c r="K29" i="1"/>
  <c r="J29" i="1"/>
  <c r="I29" i="1"/>
  <c r="H29" i="1"/>
  <c r="N28" i="1"/>
  <c r="M28" i="1"/>
  <c r="L28" i="1"/>
  <c r="K28" i="1"/>
  <c r="J28" i="1"/>
  <c r="I28" i="1"/>
  <c r="H28" i="1"/>
  <c r="N27" i="1"/>
  <c r="M27" i="1"/>
  <c r="L27" i="1"/>
  <c r="K27" i="1"/>
  <c r="J27" i="1"/>
  <c r="O27" i="1" s="1"/>
  <c r="I27" i="1"/>
  <c r="H27" i="1"/>
  <c r="N26" i="1"/>
  <c r="M26" i="1"/>
  <c r="L26" i="1"/>
  <c r="K26" i="1"/>
  <c r="J26" i="1"/>
  <c r="I26" i="1"/>
  <c r="H26" i="1"/>
  <c r="N24" i="1"/>
  <c r="M24" i="1"/>
  <c r="L24" i="1"/>
  <c r="K24" i="1"/>
  <c r="J24" i="1"/>
  <c r="O24" i="1" s="1"/>
  <c r="I24" i="1"/>
  <c r="H24" i="1"/>
  <c r="N23" i="1"/>
  <c r="M23" i="1"/>
  <c r="L23" i="1"/>
  <c r="K23" i="1"/>
  <c r="J23" i="1"/>
  <c r="I23" i="1"/>
  <c r="H23" i="1"/>
  <c r="N22" i="1"/>
  <c r="M22" i="1"/>
  <c r="L22" i="1"/>
  <c r="K22" i="1"/>
  <c r="J22" i="1"/>
  <c r="I22" i="1"/>
  <c r="H22" i="1"/>
  <c r="N21" i="1"/>
  <c r="M21" i="1"/>
  <c r="L21" i="1"/>
  <c r="K21" i="1"/>
  <c r="J21" i="1"/>
  <c r="I21" i="1"/>
  <c r="H21" i="1"/>
  <c r="N20" i="1"/>
  <c r="M20" i="1"/>
  <c r="L20" i="1"/>
  <c r="K20" i="1"/>
  <c r="J20" i="1"/>
  <c r="O20" i="1" s="1"/>
  <c r="I20" i="1"/>
  <c r="H20" i="1"/>
  <c r="N19" i="1"/>
  <c r="M19" i="1"/>
  <c r="L19" i="1"/>
  <c r="K19" i="1"/>
  <c r="J19" i="1"/>
  <c r="I19" i="1"/>
  <c r="D22" i="15" s="1"/>
  <c r="D21" i="15" s="1"/>
  <c r="H19" i="1"/>
  <c r="N18" i="1"/>
  <c r="M18" i="1"/>
  <c r="L18" i="1"/>
  <c r="K18" i="1"/>
  <c r="J18" i="1"/>
  <c r="I18" i="1"/>
  <c r="H18" i="1"/>
  <c r="N17" i="1"/>
  <c r="M17" i="1"/>
  <c r="L17" i="1"/>
  <c r="K17" i="1"/>
  <c r="J17" i="1"/>
  <c r="I17" i="1"/>
  <c r="H17" i="1"/>
  <c r="N16" i="1"/>
  <c r="M16" i="1"/>
  <c r="L16" i="1"/>
  <c r="K16" i="1"/>
  <c r="J16" i="1"/>
  <c r="I16" i="1"/>
  <c r="H16" i="1"/>
  <c r="N15" i="1"/>
  <c r="M15" i="1"/>
  <c r="L15" i="1"/>
  <c r="K15" i="1"/>
  <c r="J15" i="1"/>
  <c r="I15" i="1"/>
  <c r="H15" i="1"/>
  <c r="N14" i="1"/>
  <c r="M14" i="1"/>
  <c r="L14" i="1"/>
  <c r="O14" i="1" s="1"/>
  <c r="K14" i="1"/>
  <c r="J14" i="1"/>
  <c r="I14" i="1"/>
  <c r="H14" i="1"/>
  <c r="N13" i="1"/>
  <c r="M13" i="1"/>
  <c r="L13" i="1"/>
  <c r="K13" i="1"/>
  <c r="J13" i="1"/>
  <c r="I13" i="1"/>
  <c r="H13" i="1"/>
  <c r="N12" i="1"/>
  <c r="M12" i="1"/>
  <c r="L12" i="1"/>
  <c r="K12" i="1"/>
  <c r="J12" i="1"/>
  <c r="O12" i="1" s="1"/>
  <c r="I12" i="1"/>
  <c r="H12" i="1"/>
  <c r="N11" i="1"/>
  <c r="M11" i="1"/>
  <c r="L11" i="1"/>
  <c r="K11" i="1"/>
  <c r="J11" i="1"/>
  <c r="O11" i="1" s="1"/>
  <c r="I11" i="1"/>
  <c r="H11" i="1"/>
  <c r="N10" i="1"/>
  <c r="M10" i="1"/>
  <c r="L10" i="1"/>
  <c r="K10" i="1"/>
  <c r="J10" i="1"/>
  <c r="I10" i="1"/>
  <c r="H10" i="1"/>
  <c r="N9" i="1"/>
  <c r="M9" i="1"/>
  <c r="L9" i="1"/>
  <c r="K9" i="1"/>
  <c r="J9" i="1"/>
  <c r="O9" i="1" s="1"/>
  <c r="I9" i="1"/>
  <c r="H9" i="1"/>
  <c r="N8" i="1"/>
  <c r="M8" i="1"/>
  <c r="L8" i="1"/>
  <c r="K8" i="1"/>
  <c r="J8" i="1"/>
  <c r="O8" i="1" s="1"/>
  <c r="I8" i="1"/>
  <c r="H8" i="1"/>
  <c r="N7" i="1"/>
  <c r="M7" i="1"/>
  <c r="L7" i="1"/>
  <c r="K7" i="1"/>
  <c r="J7" i="1"/>
  <c r="I7" i="1"/>
  <c r="H7" i="1"/>
  <c r="N6" i="1"/>
  <c r="M6" i="1"/>
  <c r="L6" i="1"/>
  <c r="K6" i="1"/>
  <c r="J6" i="1"/>
  <c r="I6" i="1"/>
  <c r="H6" i="1"/>
  <c r="M115" i="1" l="1"/>
  <c r="O130" i="1"/>
  <c r="O134" i="1"/>
  <c r="O147" i="1"/>
  <c r="O159" i="1"/>
  <c r="O225" i="1"/>
  <c r="O229" i="1"/>
  <c r="O360" i="1"/>
  <c r="O459" i="1"/>
  <c r="O505" i="1"/>
  <c r="O513" i="1"/>
  <c r="O546" i="1"/>
  <c r="O558" i="1"/>
  <c r="I565" i="1"/>
  <c r="O577" i="1"/>
  <c r="O709" i="1"/>
  <c r="O717" i="1"/>
  <c r="O878" i="1"/>
  <c r="K929" i="1"/>
  <c r="O13" i="1"/>
  <c r="O21" i="1"/>
  <c r="O30" i="1"/>
  <c r="O38" i="1"/>
  <c r="O42" i="1"/>
  <c r="O48" i="1"/>
  <c r="O158" i="1"/>
  <c r="O183" i="1"/>
  <c r="M232" i="1"/>
  <c r="O282" i="1"/>
  <c r="O315" i="1"/>
  <c r="O346" i="1"/>
  <c r="O351" i="1"/>
  <c r="O363" i="1"/>
  <c r="O376" i="1"/>
  <c r="O386" i="1"/>
  <c r="O390" i="1"/>
  <c r="O396" i="1"/>
  <c r="N462" i="1"/>
  <c r="L565" i="1"/>
  <c r="E100" i="16" s="1"/>
  <c r="E121" i="16" s="1"/>
  <c r="O869" i="1"/>
  <c r="O913" i="1"/>
  <c r="H929" i="1"/>
  <c r="C5" i="8"/>
  <c r="O391" i="1"/>
  <c r="H37" i="6"/>
  <c r="H7" i="8" s="1"/>
  <c r="N115" i="1"/>
  <c r="O226" i="1"/>
  <c r="H695" i="1"/>
  <c r="O718" i="1"/>
  <c r="O941" i="1"/>
  <c r="G5" i="8"/>
  <c r="N580" i="1"/>
  <c r="N695" i="1"/>
  <c r="N347" i="1"/>
  <c r="N812" i="1"/>
  <c r="N232" i="1"/>
  <c r="G16" i="15"/>
  <c r="N929" i="1"/>
  <c r="N1033" i="1"/>
  <c r="N102" i="1"/>
  <c r="N450" i="1"/>
  <c r="N799" i="1"/>
  <c r="N683" i="1"/>
  <c r="N335" i="1"/>
  <c r="N219" i="1"/>
  <c r="N915" i="1"/>
  <c r="N632" i="1"/>
  <c r="N748" i="1"/>
  <c r="N399" i="1"/>
  <c r="N168" i="1"/>
  <c r="N51" i="1"/>
  <c r="N514" i="1"/>
  <c r="N864" i="1"/>
  <c r="N141" i="1"/>
  <c r="N488" i="1"/>
  <c r="N721" i="1"/>
  <c r="N956" i="1"/>
  <c r="N606" i="1"/>
  <c r="N373" i="1"/>
  <c r="N258" i="1"/>
  <c r="N25" i="1"/>
  <c r="G22" i="15"/>
  <c r="G21" i="15" s="1"/>
  <c r="G26" i="15"/>
  <c r="G24" i="15" s="1"/>
  <c r="N586" i="1"/>
  <c r="N121" i="1"/>
  <c r="N818" i="1"/>
  <c r="N468" i="1"/>
  <c r="N701" i="1"/>
  <c r="N238" i="1"/>
  <c r="N5" i="1"/>
  <c r="N353" i="1"/>
  <c r="G9" i="15"/>
  <c r="M580" i="1"/>
  <c r="M812" i="1"/>
  <c r="M565" i="1"/>
  <c r="M219" i="1"/>
  <c r="M799" i="1"/>
  <c r="M683" i="1"/>
  <c r="M450" i="1"/>
  <c r="M102" i="1"/>
  <c r="M915" i="1"/>
  <c r="M1033" i="1"/>
  <c r="M335" i="1"/>
  <c r="M748" i="1"/>
  <c r="M514" i="1"/>
  <c r="M399" i="1"/>
  <c r="M51" i="1"/>
  <c r="M982" i="1"/>
  <c r="M632" i="1"/>
  <c r="M168" i="1"/>
  <c r="M721" i="1"/>
  <c r="M141" i="1"/>
  <c r="M488" i="1"/>
  <c r="M258" i="1"/>
  <c r="M606" i="1"/>
  <c r="M373" i="1"/>
  <c r="M25" i="1"/>
  <c r="M838" i="1"/>
  <c r="M468" i="1"/>
  <c r="M121" i="1"/>
  <c r="M353" i="1"/>
  <c r="M5" i="1"/>
  <c r="M818" i="1"/>
  <c r="M701" i="1"/>
  <c r="M586" i="1"/>
  <c r="M238" i="1"/>
  <c r="H67" i="6"/>
  <c r="H59" i="6"/>
  <c r="H55" i="6"/>
  <c r="O1049" i="1"/>
  <c r="L232" i="1"/>
  <c r="L929" i="1"/>
  <c r="O582" i="1"/>
  <c r="L695" i="1"/>
  <c r="L347" i="1"/>
  <c r="O349" i="1"/>
  <c r="F16" i="15"/>
  <c r="O931" i="1"/>
  <c r="O1047" i="1"/>
  <c r="O1045" i="1"/>
  <c r="O1041" i="1"/>
  <c r="H47" i="6"/>
  <c r="O1040" i="1"/>
  <c r="O573" i="1"/>
  <c r="O922" i="1"/>
  <c r="O340" i="1"/>
  <c r="O224" i="1"/>
  <c r="L102" i="1"/>
  <c r="L683" i="1"/>
  <c r="L219" i="1"/>
  <c r="L1033" i="1"/>
  <c r="O337" i="1"/>
  <c r="L335" i="1"/>
  <c r="L915" i="1"/>
  <c r="H43" i="6"/>
  <c r="O1032" i="1"/>
  <c r="O563" i="1"/>
  <c r="O217" i="1"/>
  <c r="O213" i="1"/>
  <c r="O212" i="1"/>
  <c r="O1023" i="1"/>
  <c r="O670" i="1"/>
  <c r="O551" i="1"/>
  <c r="O205" i="1"/>
  <c r="O664" i="1"/>
  <c r="O200" i="1"/>
  <c r="O662" i="1"/>
  <c r="O194" i="1"/>
  <c r="O539" i="1"/>
  <c r="O424" i="1"/>
  <c r="O1006" i="1"/>
  <c r="O655" i="1"/>
  <c r="O654" i="1"/>
  <c r="O190" i="1"/>
  <c r="O189" i="1"/>
  <c r="O1002" i="1"/>
  <c r="O534" i="1"/>
  <c r="O652" i="1"/>
  <c r="O188" i="1"/>
  <c r="O881" i="1"/>
  <c r="O646" i="1"/>
  <c r="O527" i="1"/>
  <c r="O412" i="1"/>
  <c r="O181" i="1"/>
  <c r="O877" i="1"/>
  <c r="O994" i="1"/>
  <c r="O643" i="1"/>
  <c r="O522" i="1"/>
  <c r="L632" i="1"/>
  <c r="O640" i="1"/>
  <c r="L168" i="1"/>
  <c r="O176" i="1"/>
  <c r="L514" i="1"/>
  <c r="O519" i="1"/>
  <c r="L399" i="1"/>
  <c r="L864" i="1"/>
  <c r="O171" i="1"/>
  <c r="L982" i="1"/>
  <c r="O515" i="1"/>
  <c r="O169" i="1"/>
  <c r="F4" i="8"/>
  <c r="O397" i="1"/>
  <c r="O166" i="1"/>
  <c r="O49" i="1"/>
  <c r="O978" i="1"/>
  <c r="O164" i="1"/>
  <c r="O46" i="1"/>
  <c r="L838" i="1"/>
  <c r="O858" i="1"/>
  <c r="O389" i="1"/>
  <c r="O41" i="1"/>
  <c r="O157" i="1"/>
  <c r="O387" i="1"/>
  <c r="O39" i="1"/>
  <c r="O501" i="1"/>
  <c r="O34" i="1"/>
  <c r="O496" i="1"/>
  <c r="O33" i="1"/>
  <c r="O379" i="1"/>
  <c r="L373" i="1"/>
  <c r="O31" i="1"/>
  <c r="O145" i="1"/>
  <c r="O29" i="1"/>
  <c r="L488" i="1"/>
  <c r="L141" i="1"/>
  <c r="L25" i="1"/>
  <c r="O28" i="1"/>
  <c r="L956" i="1"/>
  <c r="O142" i="1"/>
  <c r="O720" i="1"/>
  <c r="O605" i="1"/>
  <c r="O486" i="1"/>
  <c r="O23" i="1"/>
  <c r="O603" i="1"/>
  <c r="O370" i="1"/>
  <c r="O22" i="1"/>
  <c r="O601" i="1"/>
  <c r="O367" i="1"/>
  <c r="F22" i="15"/>
  <c r="F21" i="15" s="1"/>
  <c r="O18" i="1"/>
  <c r="O598" i="1"/>
  <c r="F26" i="15"/>
  <c r="F24" i="15" s="1"/>
  <c r="O17" i="1"/>
  <c r="O16" i="1"/>
  <c r="O596" i="1"/>
  <c r="L121" i="1"/>
  <c r="O595" i="1"/>
  <c r="O593" i="1"/>
  <c r="L468" i="1"/>
  <c r="O474" i="1"/>
  <c r="L701" i="1"/>
  <c r="O592" i="1"/>
  <c r="L238" i="1"/>
  <c r="O10" i="1"/>
  <c r="O705" i="1"/>
  <c r="H7" i="6"/>
  <c r="L586" i="1"/>
  <c r="L353" i="1"/>
  <c r="F9" i="15"/>
  <c r="F8" i="15" s="1"/>
  <c r="F4" i="15" s="1"/>
  <c r="F3" i="15" s="1"/>
  <c r="O7" i="1"/>
  <c r="K232" i="1"/>
  <c r="K347" i="1"/>
  <c r="K812" i="1"/>
  <c r="K462" i="1"/>
  <c r="K115" i="1"/>
  <c r="K335" i="1"/>
  <c r="K102" i="1"/>
  <c r="K219" i="1"/>
  <c r="K915" i="1"/>
  <c r="K1033" i="1"/>
  <c r="K565" i="1"/>
  <c r="K799" i="1"/>
  <c r="K683" i="1"/>
  <c r="K864" i="1"/>
  <c r="K514" i="1"/>
  <c r="K748" i="1"/>
  <c r="K284" i="1"/>
  <c r="K982" i="1"/>
  <c r="K399" i="1"/>
  <c r="K168" i="1"/>
  <c r="K51" i="1"/>
  <c r="K141" i="1"/>
  <c r="K25" i="1"/>
  <c r="K838" i="1"/>
  <c r="K258" i="1"/>
  <c r="K956" i="1"/>
  <c r="K488" i="1"/>
  <c r="K606" i="1"/>
  <c r="K373" i="1"/>
  <c r="K936" i="1"/>
  <c r="K353" i="1"/>
  <c r="K238" i="1"/>
  <c r="K818" i="1"/>
  <c r="K701" i="1"/>
  <c r="K586" i="1"/>
  <c r="K468" i="1"/>
  <c r="K121" i="1"/>
  <c r="K5" i="1"/>
  <c r="O816" i="1"/>
  <c r="D16" i="15"/>
  <c r="E16" i="15"/>
  <c r="I232" i="1"/>
  <c r="I580" i="1"/>
  <c r="J812" i="1"/>
  <c r="I695" i="1"/>
  <c r="I462" i="1"/>
  <c r="J462" i="1"/>
  <c r="I347" i="1"/>
  <c r="J232" i="1"/>
  <c r="I929" i="1"/>
  <c r="O807" i="1"/>
  <c r="O457" i="1"/>
  <c r="O689" i="1"/>
  <c r="I799" i="1"/>
  <c r="J799" i="1"/>
  <c r="O688" i="1"/>
  <c r="I450" i="1"/>
  <c r="I683" i="1"/>
  <c r="J683" i="1"/>
  <c r="J450" i="1"/>
  <c r="I102" i="1"/>
  <c r="I915" i="1"/>
  <c r="O685" i="1"/>
  <c r="J335" i="1"/>
  <c r="J219" i="1"/>
  <c r="I219" i="1"/>
  <c r="J102" i="1"/>
  <c r="O102" i="1" s="1"/>
  <c r="E3" i="6"/>
  <c r="E7" i="12" s="1"/>
  <c r="E6" i="12" s="1"/>
  <c r="E3" i="12" s="1"/>
  <c r="O791" i="1"/>
  <c r="O788" i="1"/>
  <c r="O672" i="1"/>
  <c r="O671" i="1"/>
  <c r="O782" i="1"/>
  <c r="O318" i="1"/>
  <c r="O779" i="1"/>
  <c r="O895" i="1"/>
  <c r="O314" i="1"/>
  <c r="I748" i="1"/>
  <c r="O309" i="1"/>
  <c r="O770" i="1"/>
  <c r="O306" i="1"/>
  <c r="O767" i="1"/>
  <c r="I864" i="1"/>
  <c r="O766" i="1"/>
  <c r="O302" i="1"/>
  <c r="O297" i="1"/>
  <c r="O758" i="1"/>
  <c r="O755" i="1"/>
  <c r="O290" i="1"/>
  <c r="I51" i="1"/>
  <c r="I982" i="1"/>
  <c r="I514" i="1"/>
  <c r="O752" i="1"/>
  <c r="J748" i="1"/>
  <c r="I632" i="1"/>
  <c r="I168" i="1"/>
  <c r="O285" i="1"/>
  <c r="O631" i="1"/>
  <c r="O281" i="1"/>
  <c r="O744" i="1"/>
  <c r="O741" i="1"/>
  <c r="O625" i="1"/>
  <c r="O388" i="1"/>
  <c r="O273" i="1"/>
  <c r="O617" i="1"/>
  <c r="O732" i="1"/>
  <c r="O267" i="1"/>
  <c r="O613" i="1"/>
  <c r="I721" i="1"/>
  <c r="I606" i="1"/>
  <c r="O612" i="1"/>
  <c r="O264" i="1"/>
  <c r="J606" i="1"/>
  <c r="O378" i="1"/>
  <c r="O262" i="1"/>
  <c r="J258" i="1"/>
  <c r="I258" i="1"/>
  <c r="O261" i="1"/>
  <c r="I25" i="1"/>
  <c r="J25" i="1"/>
  <c r="I838" i="1"/>
  <c r="I488" i="1"/>
  <c r="J721" i="1"/>
  <c r="I373" i="1"/>
  <c r="I141" i="1"/>
  <c r="J141" i="1"/>
  <c r="O835" i="1"/>
  <c r="E22" i="15"/>
  <c r="O366" i="1"/>
  <c r="O713" i="1"/>
  <c r="D26" i="15"/>
  <c r="D24" i="15" s="1"/>
  <c r="E26" i="15"/>
  <c r="J353" i="1"/>
  <c r="O361" i="1"/>
  <c r="O823" i="1"/>
  <c r="J818" i="1"/>
  <c r="O242" i="1"/>
  <c r="E9" i="15"/>
  <c r="E8" i="15" s="1"/>
  <c r="O822" i="1"/>
  <c r="O704" i="1"/>
  <c r="D9" i="15"/>
  <c r="D8" i="15" s="1"/>
  <c r="I468" i="1"/>
  <c r="I701" i="1"/>
  <c r="J701" i="1"/>
  <c r="I586" i="1"/>
  <c r="J586" i="1"/>
  <c r="O588" i="1"/>
  <c r="I238" i="1"/>
  <c r="J238" i="1"/>
  <c r="I121" i="1"/>
  <c r="I818" i="1"/>
  <c r="I5" i="1"/>
  <c r="D5" i="8"/>
  <c r="O466" i="1"/>
  <c r="O815" i="1"/>
  <c r="H812" i="1"/>
  <c r="H462" i="1"/>
  <c r="O464" i="1"/>
  <c r="H347" i="1"/>
  <c r="H232" i="1"/>
  <c r="C16" i="15"/>
  <c r="O463" i="1"/>
  <c r="H115" i="1"/>
  <c r="I115" i="1"/>
  <c r="J115" i="1"/>
  <c r="O694" i="1"/>
  <c r="O810" i="1"/>
  <c r="O460" i="1"/>
  <c r="O808" i="1"/>
  <c r="O456" i="1"/>
  <c r="H335" i="1"/>
  <c r="H915" i="1"/>
  <c r="O804" i="1"/>
  <c r="H565" i="1"/>
  <c r="C100" i="16" s="1"/>
  <c r="C121" i="16" s="1"/>
  <c r="H683" i="1"/>
  <c r="H219" i="1"/>
  <c r="H1033" i="1"/>
  <c r="O802" i="1"/>
  <c r="O686" i="1"/>
  <c r="O453" i="1"/>
  <c r="H102" i="1"/>
  <c r="O801" i="1"/>
  <c r="H799" i="1"/>
  <c r="H450" i="1"/>
  <c r="O451" i="1"/>
  <c r="O449" i="1"/>
  <c r="O681" i="1"/>
  <c r="O796" i="1"/>
  <c r="O680" i="1"/>
  <c r="O447" i="1"/>
  <c r="O795" i="1"/>
  <c r="O446" i="1"/>
  <c r="O794" i="1"/>
  <c r="O677" i="1"/>
  <c r="O444" i="1"/>
  <c r="O675" i="1"/>
  <c r="O790" i="1"/>
  <c r="O441" i="1"/>
  <c r="O440" i="1"/>
  <c r="O904" i="1"/>
  <c r="O787" i="1"/>
  <c r="O903" i="1"/>
  <c r="O437" i="1"/>
  <c r="O322" i="1"/>
  <c r="O784" i="1"/>
  <c r="O435" i="1"/>
  <c r="O783" i="1"/>
  <c r="O319" i="1"/>
  <c r="O899" i="1"/>
  <c r="O898" i="1"/>
  <c r="O897" i="1"/>
  <c r="O778" i="1"/>
  <c r="O894" i="1"/>
  <c r="O313" i="1"/>
  <c r="O776" i="1"/>
  <c r="O892" i="1"/>
  <c r="O775" i="1"/>
  <c r="O891" i="1"/>
  <c r="O310" i="1"/>
  <c r="O772" i="1"/>
  <c r="O771" i="1"/>
  <c r="O307" i="1"/>
  <c r="O887" i="1"/>
  <c r="O303" i="1"/>
  <c r="O301" i="1"/>
  <c r="O764" i="1"/>
  <c r="O763" i="1"/>
  <c r="O298" i="1"/>
  <c r="O760" i="1"/>
  <c r="H982" i="1"/>
  <c r="O759" i="1"/>
  <c r="O295" i="1"/>
  <c r="O294" i="1"/>
  <c r="H284" i="1"/>
  <c r="O291" i="1"/>
  <c r="H168" i="1"/>
  <c r="H748" i="1"/>
  <c r="O289" i="1"/>
  <c r="O751" i="1"/>
  <c r="H632" i="1"/>
  <c r="H514" i="1"/>
  <c r="O286" i="1"/>
  <c r="H864" i="1"/>
  <c r="O629" i="1"/>
  <c r="O628" i="1"/>
  <c r="H488" i="1"/>
  <c r="O743" i="1"/>
  <c r="O279" i="1"/>
  <c r="O393" i="1"/>
  <c r="O740" i="1"/>
  <c r="O624" i="1"/>
  <c r="O276" i="1"/>
  <c r="O623" i="1"/>
  <c r="O275" i="1"/>
  <c r="O738" i="1"/>
  <c r="O274" i="1"/>
  <c r="O737" i="1"/>
  <c r="O620" i="1"/>
  <c r="O619" i="1"/>
  <c r="O385" i="1"/>
  <c r="O270" i="1"/>
  <c r="O733" i="1"/>
  <c r="O269" i="1"/>
  <c r="O616" i="1"/>
  <c r="O731" i="1"/>
  <c r="O382" i="1"/>
  <c r="O729" i="1"/>
  <c r="O381" i="1"/>
  <c r="H258" i="1"/>
  <c r="O728" i="1"/>
  <c r="O726" i="1"/>
  <c r="O611" i="1"/>
  <c r="O263" i="1"/>
  <c r="O725" i="1"/>
  <c r="H373" i="1"/>
  <c r="H606" i="1"/>
  <c r="H25" i="1"/>
  <c r="H838" i="1"/>
  <c r="H721" i="1"/>
  <c r="O608" i="1"/>
  <c r="H141" i="1"/>
  <c r="O607" i="1"/>
  <c r="O26" i="1"/>
  <c r="O372" i="1"/>
  <c r="O719" i="1"/>
  <c r="O255" i="1"/>
  <c r="O369" i="1"/>
  <c r="O254" i="1"/>
  <c r="O834" i="1"/>
  <c r="O716" i="1"/>
  <c r="O600" i="1"/>
  <c r="C22" i="15"/>
  <c r="C21" i="15" s="1"/>
  <c r="O832" i="1"/>
  <c r="O949" i="1"/>
  <c r="O714" i="1"/>
  <c r="O831" i="1"/>
  <c r="O250" i="1"/>
  <c r="C26" i="15"/>
  <c r="C24" i="15" s="1"/>
  <c r="O947" i="1"/>
  <c r="O364" i="1"/>
  <c r="O249" i="1"/>
  <c r="O829" i="1"/>
  <c r="O828" i="1"/>
  <c r="O710" i="1"/>
  <c r="O247" i="1"/>
  <c r="H818" i="1"/>
  <c r="O944" i="1"/>
  <c r="O943" i="1"/>
  <c r="O707" i="1"/>
  <c r="H353" i="1"/>
  <c r="H468" i="1"/>
  <c r="O358" i="1"/>
  <c r="O243" i="1"/>
  <c r="H238" i="1"/>
  <c r="O940" i="1"/>
  <c r="H701" i="1"/>
  <c r="H121" i="1"/>
  <c r="H586" i="1"/>
  <c r="O355" i="1"/>
  <c r="C9" i="15"/>
  <c r="C8" i="15" s="1"/>
  <c r="C4" i="15" s="1"/>
  <c r="C3" i="15" s="1"/>
  <c r="O820" i="1"/>
  <c r="O937" i="1"/>
  <c r="O587" i="1"/>
  <c r="H5" i="1"/>
  <c r="O819" i="1"/>
  <c r="M284" i="1"/>
  <c r="O124" i="1"/>
  <c r="O136" i="1"/>
  <c r="O148" i="1"/>
  <c r="O160" i="1"/>
  <c r="O172" i="1"/>
  <c r="O184" i="1"/>
  <c r="O196" i="1"/>
  <c r="O208" i="1"/>
  <c r="O220" i="1"/>
  <c r="O245" i="1"/>
  <c r="O257" i="1"/>
  <c r="O259" i="1"/>
  <c r="O341" i="1"/>
  <c r="O356" i="1"/>
  <c r="O383" i="1"/>
  <c r="J399" i="1"/>
  <c r="O401" i="1"/>
  <c r="H399" i="1"/>
  <c r="O413" i="1"/>
  <c r="O425" i="1"/>
  <c r="O497" i="1"/>
  <c r="O509" i="1"/>
  <c r="O525" i="1"/>
  <c r="O537" i="1"/>
  <c r="O549" i="1"/>
  <c r="O561" i="1"/>
  <c r="O1039" i="1"/>
  <c r="F3" i="6"/>
  <c r="F7" i="12" s="1"/>
  <c r="F6" i="12" s="1"/>
  <c r="F3" i="12" s="1"/>
  <c r="F6" i="8"/>
  <c r="O131" i="1"/>
  <c r="O143" i="1"/>
  <c r="O155" i="1"/>
  <c r="O167" i="1"/>
  <c r="O179" i="1"/>
  <c r="O191" i="1"/>
  <c r="O203" i="1"/>
  <c r="O215" i="1"/>
  <c r="O227" i="1"/>
  <c r="O234" i="1"/>
  <c r="O240" i="1"/>
  <c r="O252" i="1"/>
  <c r="O266" i="1"/>
  <c r="O278" i="1"/>
  <c r="O354" i="1"/>
  <c r="O380" i="1"/>
  <c r="O469" i="1"/>
  <c r="O481" i="1"/>
  <c r="O641" i="1"/>
  <c r="O653" i="1"/>
  <c r="O665" i="1"/>
  <c r="O691" i="1"/>
  <c r="O697" i="1"/>
  <c r="O824" i="1"/>
  <c r="O836" i="1"/>
  <c r="O930" i="1"/>
  <c r="O985" i="1"/>
  <c r="O997" i="1"/>
  <c r="O1009" i="1"/>
  <c r="O1021" i="1"/>
  <c r="O126" i="1"/>
  <c r="O138" i="1"/>
  <c r="O150" i="1"/>
  <c r="O162" i="1"/>
  <c r="O174" i="1"/>
  <c r="O186" i="1"/>
  <c r="O198" i="1"/>
  <c r="O210" i="1"/>
  <c r="O222" i="1"/>
  <c r="O327" i="1"/>
  <c r="O377" i="1"/>
  <c r="O499" i="1"/>
  <c r="O511" i="1"/>
  <c r="O926" i="1"/>
  <c r="O19" i="1"/>
  <c r="J121" i="1"/>
  <c r="O374" i="1"/>
  <c r="J373" i="1"/>
  <c r="O471" i="1"/>
  <c r="O483" i="1"/>
  <c r="O699" i="1"/>
  <c r="O1036" i="1"/>
  <c r="L284" i="1"/>
  <c r="O434" i="1"/>
  <c r="O239" i="1"/>
  <c r="O251" i="1"/>
  <c r="L258" i="1"/>
  <c r="O674" i="1"/>
  <c r="O690" i="1"/>
  <c r="O722" i="1"/>
  <c r="O734" i="1"/>
  <c r="O746" i="1"/>
  <c r="O888" i="1"/>
  <c r="O900" i="1"/>
  <c r="O946" i="1"/>
  <c r="D3" i="6"/>
  <c r="D7" i="12" s="1"/>
  <c r="D6" i="12" s="1"/>
  <c r="D3" i="12" s="1"/>
  <c r="J347" i="1"/>
  <c r="O347" i="1" s="1"/>
  <c r="O6" i="1"/>
  <c r="O15" i="1"/>
  <c r="O125" i="1"/>
  <c r="O137" i="1"/>
  <c r="O149" i="1"/>
  <c r="O161" i="1"/>
  <c r="O173" i="1"/>
  <c r="O185" i="1"/>
  <c r="O197" i="1"/>
  <c r="O209" i="1"/>
  <c r="O221" i="1"/>
  <c r="O246" i="1"/>
  <c r="O260" i="1"/>
  <c r="O272" i="1"/>
  <c r="O288" i="1"/>
  <c r="O300" i="1"/>
  <c r="O312" i="1"/>
  <c r="O324" i="1"/>
  <c r="O326" i="1"/>
  <c r="I335" i="1"/>
  <c r="O371" i="1"/>
  <c r="O398" i="1"/>
  <c r="O436" i="1"/>
  <c r="O448" i="1"/>
  <c r="O452" i="1"/>
  <c r="O526" i="1"/>
  <c r="O538" i="1"/>
  <c r="O550" i="1"/>
  <c r="O562" i="1"/>
  <c r="O757" i="1"/>
  <c r="O769" i="1"/>
  <c r="O781" i="1"/>
  <c r="O793" i="1"/>
  <c r="O809" i="1"/>
  <c r="O873" i="1"/>
  <c r="O885" i="1"/>
  <c r="O909" i="1"/>
  <c r="O925" i="1"/>
  <c r="I1033" i="1"/>
  <c r="L115" i="1"/>
  <c r="O244" i="1"/>
  <c r="J5" i="1"/>
  <c r="L5" i="1"/>
  <c r="O132" i="1"/>
  <c r="O144" i="1"/>
  <c r="O156" i="1"/>
  <c r="J168" i="1"/>
  <c r="O180" i="1"/>
  <c r="O192" i="1"/>
  <c r="O204" i="1"/>
  <c r="O216" i="1"/>
  <c r="O228" i="1"/>
  <c r="O235" i="1"/>
  <c r="O368" i="1"/>
  <c r="O395" i="1"/>
  <c r="O574" i="1"/>
  <c r="O610" i="1"/>
  <c r="O622" i="1"/>
  <c r="O676" i="1"/>
  <c r="O825" i="1"/>
  <c r="O837" i="1"/>
  <c r="O948" i="1"/>
  <c r="H956" i="1"/>
  <c r="O127" i="1"/>
  <c r="O139" i="1"/>
  <c r="O151" i="1"/>
  <c r="O163" i="1"/>
  <c r="O175" i="1"/>
  <c r="O187" i="1"/>
  <c r="O199" i="1"/>
  <c r="O211" i="1"/>
  <c r="O223" i="1"/>
  <c r="O365" i="1"/>
  <c r="O392" i="1"/>
  <c r="O500" i="1"/>
  <c r="O512" i="1"/>
  <c r="O702" i="1"/>
  <c r="C6" i="8"/>
  <c r="O292" i="1"/>
  <c r="O304" i="1"/>
  <c r="O316" i="1"/>
  <c r="N284" i="1"/>
  <c r="O330" i="1"/>
  <c r="O344" i="1"/>
  <c r="M347" i="1"/>
  <c r="O404" i="1"/>
  <c r="O416" i="1"/>
  <c r="O428" i="1"/>
  <c r="O438" i="1"/>
  <c r="O454" i="1"/>
  <c r="O475" i="1"/>
  <c r="O487" i="1"/>
  <c r="O491" i="1"/>
  <c r="O503" i="1"/>
  <c r="O517" i="1"/>
  <c r="O529" i="1"/>
  <c r="O541" i="1"/>
  <c r="O553" i="1"/>
  <c r="O567" i="1"/>
  <c r="O583" i="1"/>
  <c r="O614" i="1"/>
  <c r="O626" i="1"/>
  <c r="O644" i="1"/>
  <c r="O656" i="1"/>
  <c r="O668" i="1"/>
  <c r="O678" i="1"/>
  <c r="O692" i="1"/>
  <c r="O723" i="1"/>
  <c r="O735" i="1"/>
  <c r="O747" i="1"/>
  <c r="O749" i="1"/>
  <c r="O761" i="1"/>
  <c r="O773" i="1"/>
  <c r="O785" i="1"/>
  <c r="O797" i="1"/>
  <c r="O811" i="1"/>
  <c r="O813" i="1"/>
  <c r="O826" i="1"/>
  <c r="O849" i="1"/>
  <c r="O861" i="1"/>
  <c r="O889" i="1"/>
  <c r="O901" i="1"/>
  <c r="O917" i="1"/>
  <c r="O933" i="1"/>
  <c r="O938" i="1"/>
  <c r="O950" i="1"/>
  <c r="O970" i="1"/>
  <c r="O1012" i="1"/>
  <c r="O1024" i="1"/>
  <c r="O1042" i="1"/>
  <c r="C3" i="6"/>
  <c r="C7" i="12" s="1"/>
  <c r="C6" i="12" s="1"/>
  <c r="C3" i="12" s="1"/>
  <c r="C4" i="8"/>
  <c r="C3" i="8" s="1"/>
  <c r="E5" i="8"/>
  <c r="G6" i="8"/>
  <c r="O271" i="1"/>
  <c r="O283" i="1"/>
  <c r="O287" i="1"/>
  <c r="O299" i="1"/>
  <c r="O311" i="1"/>
  <c r="O323" i="1"/>
  <c r="O339" i="1"/>
  <c r="O445" i="1"/>
  <c r="O461" i="1"/>
  <c r="O465" i="1"/>
  <c r="O470" i="1"/>
  <c r="O482" i="1"/>
  <c r="O498" i="1"/>
  <c r="O510" i="1"/>
  <c r="O524" i="1"/>
  <c r="O536" i="1"/>
  <c r="O548" i="1"/>
  <c r="O560" i="1"/>
  <c r="O576" i="1"/>
  <c r="O609" i="1"/>
  <c r="O621" i="1"/>
  <c r="O639" i="1"/>
  <c r="O651" i="1"/>
  <c r="O663" i="1"/>
  <c r="O673" i="1"/>
  <c r="O687" i="1"/>
  <c r="O698" i="1"/>
  <c r="O730" i="1"/>
  <c r="O742" i="1"/>
  <c r="O756" i="1"/>
  <c r="O768" i="1"/>
  <c r="O780" i="1"/>
  <c r="O792" i="1"/>
  <c r="O806" i="1"/>
  <c r="O821" i="1"/>
  <c r="O833" i="1"/>
  <c r="O874" i="1"/>
  <c r="O886" i="1"/>
  <c r="O896" i="1"/>
  <c r="O924" i="1"/>
  <c r="M929" i="1"/>
  <c r="O945" i="1"/>
  <c r="O965" i="1"/>
  <c r="O977" i="1"/>
  <c r="O1019" i="1"/>
  <c r="O1031" i="1"/>
  <c r="O1037" i="1"/>
  <c r="D4" i="8"/>
  <c r="H11" i="6"/>
  <c r="H23" i="6"/>
  <c r="H35" i="6"/>
  <c r="F5" i="8"/>
  <c r="E4" i="8"/>
  <c r="O256" i="1"/>
  <c r="O268" i="1"/>
  <c r="O280" i="1"/>
  <c r="O296" i="1"/>
  <c r="O308" i="1"/>
  <c r="O320" i="1"/>
  <c r="O334" i="1"/>
  <c r="O336" i="1"/>
  <c r="O350" i="1"/>
  <c r="O408" i="1"/>
  <c r="O420" i="1"/>
  <c r="O432" i="1"/>
  <c r="O442" i="1"/>
  <c r="O458" i="1"/>
  <c r="O479" i="1"/>
  <c r="O495" i="1"/>
  <c r="O507" i="1"/>
  <c r="O521" i="1"/>
  <c r="O533" i="1"/>
  <c r="O545" i="1"/>
  <c r="O557" i="1"/>
  <c r="O572" i="1"/>
  <c r="O618" i="1"/>
  <c r="O630" i="1"/>
  <c r="O636" i="1"/>
  <c r="O648" i="1"/>
  <c r="O660" i="1"/>
  <c r="O682" i="1"/>
  <c r="O684" i="1"/>
  <c r="O727" i="1"/>
  <c r="O739" i="1"/>
  <c r="O753" i="1"/>
  <c r="O765" i="1"/>
  <c r="O777" i="1"/>
  <c r="O789" i="1"/>
  <c r="O803" i="1"/>
  <c r="O830" i="1"/>
  <c r="O841" i="1"/>
  <c r="O853" i="1"/>
  <c r="O893" i="1"/>
  <c r="O905" i="1"/>
  <c r="O921" i="1"/>
  <c r="O942" i="1"/>
  <c r="O962" i="1"/>
  <c r="O974" i="1"/>
  <c r="O1016" i="1"/>
  <c r="O1028" i="1"/>
  <c r="G3" i="6"/>
  <c r="G7" i="12" s="1"/>
  <c r="G6" i="12" s="1"/>
  <c r="G3" i="12" s="1"/>
  <c r="G4" i="8"/>
  <c r="G3" i="8" s="1"/>
  <c r="O230" i="1"/>
  <c r="O241" i="1"/>
  <c r="O253" i="1"/>
  <c r="O265" i="1"/>
  <c r="O277" i="1"/>
  <c r="O293" i="1"/>
  <c r="O305" i="1"/>
  <c r="O317" i="1"/>
  <c r="I284" i="1"/>
  <c r="O331" i="1"/>
  <c r="O345" i="1"/>
  <c r="O405" i="1"/>
  <c r="O417" i="1"/>
  <c r="O429" i="1"/>
  <c r="O439" i="1"/>
  <c r="O455" i="1"/>
  <c r="O476" i="1"/>
  <c r="O492" i="1"/>
  <c r="O504" i="1"/>
  <c r="O518" i="1"/>
  <c r="O530" i="1"/>
  <c r="O542" i="1"/>
  <c r="O554" i="1"/>
  <c r="O568" i="1"/>
  <c r="O584" i="1"/>
  <c r="O615" i="1"/>
  <c r="O627" i="1"/>
  <c r="O633" i="1"/>
  <c r="O645" i="1"/>
  <c r="O657" i="1"/>
  <c r="O669" i="1"/>
  <c r="O679" i="1"/>
  <c r="O693" i="1"/>
  <c r="O724" i="1"/>
  <c r="O736" i="1"/>
  <c r="O750" i="1"/>
  <c r="O762" i="1"/>
  <c r="O774" i="1"/>
  <c r="O786" i="1"/>
  <c r="O798" i="1"/>
  <c r="O800" i="1"/>
  <c r="O814" i="1"/>
  <c r="O827" i="1"/>
  <c r="O850" i="1"/>
  <c r="O862" i="1"/>
  <c r="O890" i="1"/>
  <c r="O902" i="1"/>
  <c r="M864" i="1"/>
  <c r="O918" i="1"/>
  <c r="O934" i="1"/>
  <c r="O939" i="1"/>
  <c r="O951" i="1"/>
  <c r="N982" i="1"/>
  <c r="O989" i="1"/>
  <c r="O1001" i="1"/>
  <c r="O1013" i="1"/>
  <c r="O1025" i="1"/>
  <c r="H5" i="6"/>
  <c r="H17" i="6"/>
  <c r="H29" i="6"/>
  <c r="H41" i="6"/>
  <c r="O478" i="1"/>
  <c r="O494" i="1"/>
  <c r="O506" i="1"/>
  <c r="O520" i="1"/>
  <c r="O532" i="1"/>
  <c r="O544" i="1"/>
  <c r="O556" i="1"/>
  <c r="O570" i="1"/>
  <c r="O635" i="1"/>
  <c r="O647" i="1"/>
  <c r="O659" i="1"/>
  <c r="O870" i="1"/>
  <c r="O882" i="1"/>
  <c r="O920" i="1"/>
  <c r="O955" i="1"/>
  <c r="O961" i="1"/>
  <c r="O973" i="1"/>
  <c r="O1015" i="1"/>
  <c r="O1027" i="1"/>
  <c r="H15" i="6"/>
  <c r="H27" i="6"/>
  <c r="H39" i="6"/>
  <c r="H51" i="6"/>
  <c r="H63" i="6"/>
  <c r="D6" i="8"/>
  <c r="H75" i="6"/>
  <c r="O696" i="1"/>
  <c r="J695" i="1"/>
  <c r="J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6" i="1"/>
  <c r="O117" i="1"/>
  <c r="O118" i="1"/>
  <c r="O119" i="1"/>
  <c r="L450" i="1"/>
  <c r="L462" i="1"/>
  <c r="J514" i="1"/>
  <c r="J580" i="1"/>
  <c r="O580" i="1" s="1"/>
  <c r="L606" i="1"/>
  <c r="L721" i="1"/>
  <c r="O805" i="1"/>
  <c r="L818" i="1"/>
  <c r="J284" i="1"/>
  <c r="O325" i="1"/>
  <c r="O329" i="1"/>
  <c r="O333" i="1"/>
  <c r="I399" i="1"/>
  <c r="O403" i="1"/>
  <c r="O407" i="1"/>
  <c r="O411" i="1"/>
  <c r="O415" i="1"/>
  <c r="O419" i="1"/>
  <c r="O423" i="1"/>
  <c r="O427" i="1"/>
  <c r="O431" i="1"/>
  <c r="J565" i="1"/>
  <c r="L748" i="1"/>
  <c r="O748" i="1" s="1"/>
  <c r="L812" i="1"/>
  <c r="H51" i="1"/>
  <c r="L51" i="1"/>
  <c r="O328" i="1"/>
  <c r="O332" i="1"/>
  <c r="O402" i="1"/>
  <c r="O406" i="1"/>
  <c r="O410" i="1"/>
  <c r="O414" i="1"/>
  <c r="O418" i="1"/>
  <c r="O422" i="1"/>
  <c r="O426" i="1"/>
  <c r="O430" i="1"/>
  <c r="J468" i="1"/>
  <c r="J488" i="1"/>
  <c r="L799" i="1"/>
  <c r="O799" i="1" s="1"/>
  <c r="N838" i="1"/>
  <c r="K695" i="1"/>
  <c r="O840" i="1"/>
  <c r="O844" i="1"/>
  <c r="O848" i="1"/>
  <c r="O852" i="1"/>
  <c r="O856" i="1"/>
  <c r="O860" i="1"/>
  <c r="O868" i="1"/>
  <c r="O872" i="1"/>
  <c r="O876" i="1"/>
  <c r="O880" i="1"/>
  <c r="O884" i="1"/>
  <c r="O908" i="1"/>
  <c r="J864" i="1"/>
  <c r="J632" i="1"/>
  <c r="K632" i="1"/>
  <c r="J838" i="1"/>
  <c r="O839" i="1"/>
  <c r="O843" i="1"/>
  <c r="O847" i="1"/>
  <c r="O851" i="1"/>
  <c r="O855" i="1"/>
  <c r="O859" i="1"/>
  <c r="O863" i="1"/>
  <c r="O867" i="1"/>
  <c r="O871" i="1"/>
  <c r="O875" i="1"/>
  <c r="O879" i="1"/>
  <c r="O883" i="1"/>
  <c r="O916" i="1"/>
  <c r="J915" i="1"/>
  <c r="O932" i="1"/>
  <c r="J929" i="1"/>
  <c r="O907" i="1"/>
  <c r="O911" i="1"/>
  <c r="O906" i="1"/>
  <c r="O910" i="1"/>
  <c r="O914" i="1"/>
  <c r="J956" i="1"/>
  <c r="O959" i="1"/>
  <c r="O979" i="1"/>
  <c r="O983" i="1"/>
  <c r="O987" i="1"/>
  <c r="O991" i="1"/>
  <c r="O995" i="1"/>
  <c r="O999" i="1"/>
  <c r="O1003" i="1"/>
  <c r="O1007" i="1"/>
  <c r="O1011" i="1"/>
  <c r="O1035" i="1"/>
  <c r="H4" i="6"/>
  <c r="H8" i="6"/>
  <c r="H12" i="6"/>
  <c r="H16" i="6"/>
  <c r="H20" i="6"/>
  <c r="H24" i="6"/>
  <c r="H28" i="6"/>
  <c r="H32" i="6"/>
  <c r="H36" i="6"/>
  <c r="H40" i="6"/>
  <c r="H44" i="6"/>
  <c r="H48" i="6"/>
  <c r="H52" i="6"/>
  <c r="H56" i="6"/>
  <c r="H60" i="6"/>
  <c r="H64" i="6"/>
  <c r="H8" i="8" s="1"/>
  <c r="H68" i="6"/>
  <c r="H6" i="8" s="1"/>
  <c r="H72" i="6"/>
  <c r="E8" i="8"/>
  <c r="O952" i="1"/>
  <c r="I956" i="1"/>
  <c r="M956" i="1"/>
  <c r="O958" i="1"/>
  <c r="J982" i="1"/>
  <c r="O1018" i="1"/>
  <c r="O1022" i="1"/>
  <c r="O1026" i="1"/>
  <c r="O1030" i="1"/>
  <c r="O1034" i="1"/>
  <c r="H45" i="6"/>
  <c r="H49" i="6"/>
  <c r="H53" i="6"/>
  <c r="H57" i="6"/>
  <c r="H61" i="6"/>
  <c r="H65" i="6"/>
  <c r="H69" i="6"/>
  <c r="H73" i="6"/>
  <c r="H936" i="1"/>
  <c r="L936" i="1"/>
  <c r="I936" i="1"/>
  <c r="M936" i="1"/>
  <c r="N936" i="1"/>
  <c r="J1033" i="1"/>
  <c r="H6" i="6"/>
  <c r="H10" i="6"/>
  <c r="H14" i="6"/>
  <c r="H18" i="6"/>
  <c r="H22" i="6"/>
  <c r="H26" i="6"/>
  <c r="H30" i="6"/>
  <c r="H34" i="6"/>
  <c r="H38" i="6"/>
  <c r="H42" i="6"/>
  <c r="H46" i="6"/>
  <c r="H50" i="6"/>
  <c r="H54" i="6"/>
  <c r="H58" i="6"/>
  <c r="H62" i="6"/>
  <c r="H66" i="6"/>
  <c r="H70" i="6"/>
  <c r="H74" i="6"/>
  <c r="E7" i="8"/>
  <c r="O984" i="1"/>
  <c r="O988" i="1"/>
  <c r="O992" i="1"/>
  <c r="O996" i="1"/>
  <c r="O1000" i="1"/>
  <c r="O1004" i="1"/>
  <c r="O1008" i="1"/>
  <c r="O963" i="1"/>
  <c r="O967" i="1"/>
  <c r="O971" i="1"/>
  <c r="O975" i="1"/>
  <c r="O953" i="1"/>
  <c r="J936" i="1"/>
  <c r="O960" i="1"/>
  <c r="O964" i="1"/>
  <c r="O968" i="1"/>
  <c r="O972" i="1"/>
  <c r="O976" i="1"/>
  <c r="D4" i="15" l="1"/>
  <c r="D3" i="15" s="1"/>
  <c r="D115" i="16"/>
  <c r="O565" i="1"/>
  <c r="D100" i="16"/>
  <c r="K817" i="1"/>
  <c r="G8" i="15"/>
  <c r="G4" i="15" s="1"/>
  <c r="G3" i="15" s="1"/>
  <c r="N585" i="1"/>
  <c r="G13" i="4" s="1"/>
  <c r="N120" i="1"/>
  <c r="G9" i="4" s="1"/>
  <c r="N817" i="1"/>
  <c r="G15" i="4" s="1"/>
  <c r="N935" i="1"/>
  <c r="G16" i="4" s="1"/>
  <c r="N352" i="1"/>
  <c r="G11" i="4" s="1"/>
  <c r="N700" i="1"/>
  <c r="G14" i="5" s="1"/>
  <c r="N467" i="1"/>
  <c r="G12" i="4" s="1"/>
  <c r="N4" i="1"/>
  <c r="G8" i="4" s="1"/>
  <c r="N237" i="1"/>
  <c r="G10" i="4" s="1"/>
  <c r="M237" i="1"/>
  <c r="M352" i="1"/>
  <c r="M120" i="1"/>
  <c r="M467" i="1"/>
  <c r="M700" i="1"/>
  <c r="M817" i="1"/>
  <c r="M4" i="1"/>
  <c r="M585" i="1"/>
  <c r="O232" i="1"/>
  <c r="O929" i="1"/>
  <c r="O695" i="1"/>
  <c r="H16" i="15"/>
  <c r="H5" i="8"/>
  <c r="F3" i="8"/>
  <c r="O335" i="1"/>
  <c r="O219" i="1"/>
  <c r="O1033" i="1"/>
  <c r="O683" i="1"/>
  <c r="O915" i="1"/>
  <c r="O514" i="1"/>
  <c r="O399" i="1"/>
  <c r="O864" i="1"/>
  <c r="O168" i="1"/>
  <c r="O982" i="1"/>
  <c r="O373" i="1"/>
  <c r="O488" i="1"/>
  <c r="O141" i="1"/>
  <c r="O956" i="1"/>
  <c r="L467" i="1"/>
  <c r="F12" i="4" s="1"/>
  <c r="L120" i="1"/>
  <c r="F9" i="4" s="1"/>
  <c r="O25" i="1"/>
  <c r="L935" i="1"/>
  <c r="F16" i="4" s="1"/>
  <c r="O606" i="1"/>
  <c r="L237" i="1"/>
  <c r="F10" i="4" s="1"/>
  <c r="H22" i="15"/>
  <c r="H21" i="15" s="1"/>
  <c r="H26" i="15"/>
  <c r="H24" i="15" s="1"/>
  <c r="L585" i="1"/>
  <c r="F13" i="4" s="1"/>
  <c r="O586" i="1"/>
  <c r="O238" i="1"/>
  <c r="O5" i="1"/>
  <c r="K935" i="1"/>
  <c r="K700" i="1"/>
  <c r="K4" i="1"/>
  <c r="K237" i="1"/>
  <c r="K120" i="1"/>
  <c r="K352" i="1"/>
  <c r="K585" i="1"/>
  <c r="K467" i="1"/>
  <c r="D3" i="8"/>
  <c r="O812" i="1"/>
  <c r="O462" i="1"/>
  <c r="H3" i="6"/>
  <c r="H7" i="12" s="1"/>
  <c r="H6" i="12" s="1"/>
  <c r="H3" i="12" s="1"/>
  <c r="O450" i="1"/>
  <c r="I120" i="1"/>
  <c r="D9" i="4" s="1"/>
  <c r="I700" i="1"/>
  <c r="D14" i="4" s="1"/>
  <c r="I585" i="1"/>
  <c r="D13" i="4" s="1"/>
  <c r="I237" i="1"/>
  <c r="D10" i="4" s="1"/>
  <c r="O258" i="1"/>
  <c r="I4" i="1"/>
  <c r="D8" i="4" s="1"/>
  <c r="I817" i="1"/>
  <c r="D15" i="4" s="1"/>
  <c r="I467" i="1"/>
  <c r="D12" i="4" s="1"/>
  <c r="J700" i="1"/>
  <c r="E14" i="4" s="1"/>
  <c r="I352" i="1"/>
  <c r="D11" i="4" s="1"/>
  <c r="J120" i="1"/>
  <c r="J352" i="1"/>
  <c r="E11" i="4" s="1"/>
  <c r="E21" i="15"/>
  <c r="O353" i="1"/>
  <c r="E24" i="15"/>
  <c r="O701" i="1"/>
  <c r="H9" i="15"/>
  <c r="O115" i="1"/>
  <c r="H700" i="1"/>
  <c r="C14" i="4" s="1"/>
  <c r="H352" i="1"/>
  <c r="C11" i="4" s="1"/>
  <c r="H467" i="1"/>
  <c r="C12" i="4" s="1"/>
  <c r="H237" i="1"/>
  <c r="C10" i="4" s="1"/>
  <c r="H120" i="1"/>
  <c r="C9" i="4" s="1"/>
  <c r="H585" i="1"/>
  <c r="C13" i="4" s="1"/>
  <c r="H817" i="1"/>
  <c r="C15" i="4" s="1"/>
  <c r="H935" i="1"/>
  <c r="C16" i="4" s="1"/>
  <c r="O121" i="1"/>
  <c r="H4" i="8"/>
  <c r="E3" i="8"/>
  <c r="L700" i="1"/>
  <c r="O51" i="1"/>
  <c r="J4" i="1"/>
  <c r="O721" i="1"/>
  <c r="O818" i="1"/>
  <c r="L817" i="1"/>
  <c r="M935" i="1"/>
  <c r="O632" i="1"/>
  <c r="J585" i="1"/>
  <c r="I935" i="1"/>
  <c r="O838" i="1"/>
  <c r="J817" i="1"/>
  <c r="O468" i="1"/>
  <c r="J467" i="1"/>
  <c r="H4" i="1"/>
  <c r="L4" i="1"/>
  <c r="O284" i="1"/>
  <c r="J237" i="1"/>
  <c r="L352" i="1"/>
  <c r="J935" i="1"/>
  <c r="O936" i="1"/>
  <c r="D121" i="16" l="1"/>
  <c r="M3" i="1"/>
  <c r="E4" i="15"/>
  <c r="E3" i="15" s="1"/>
  <c r="G15" i="5"/>
  <c r="G13" i="5" s="1"/>
  <c r="G14" i="4"/>
  <c r="G7" i="4" s="1"/>
  <c r="G6" i="4" s="1"/>
  <c r="G5" i="4" s="1"/>
  <c r="G4" i="4" s="1"/>
  <c r="G3" i="4" s="1"/>
  <c r="G12" i="5"/>
  <c r="G7" i="5"/>
  <c r="N3" i="1"/>
  <c r="G9" i="5"/>
  <c r="H3" i="8"/>
  <c r="H8" i="15"/>
  <c r="H4" i="15" s="1"/>
  <c r="H3" i="15" s="1"/>
  <c r="O120" i="1"/>
  <c r="F12" i="5"/>
  <c r="K3" i="1"/>
  <c r="D14" i="5"/>
  <c r="D7" i="5"/>
  <c r="D9" i="5"/>
  <c r="D12" i="5"/>
  <c r="E14" i="5"/>
  <c r="E9" i="4"/>
  <c r="H9" i="4" s="1"/>
  <c r="E9" i="5"/>
  <c r="C14" i="5"/>
  <c r="C9" i="5"/>
  <c r="C12" i="5"/>
  <c r="C15" i="5"/>
  <c r="H3" i="1"/>
  <c r="C8" i="4"/>
  <c r="C7" i="4" s="1"/>
  <c r="C6" i="4" s="1"/>
  <c r="C5" i="4" s="1"/>
  <c r="C4" i="4" s="1"/>
  <c r="C3" i="4" s="1"/>
  <c r="C7" i="5"/>
  <c r="O467" i="1"/>
  <c r="E12" i="5"/>
  <c r="E12" i="4"/>
  <c r="H12" i="4" s="1"/>
  <c r="O817" i="1"/>
  <c r="E15" i="5"/>
  <c r="E15" i="4"/>
  <c r="O700" i="1"/>
  <c r="F14" i="5"/>
  <c r="F14" i="4"/>
  <c r="H14" i="4" s="1"/>
  <c r="E8" i="4"/>
  <c r="E7" i="5"/>
  <c r="O585" i="1"/>
  <c r="E13" i="4"/>
  <c r="H13" i="4" s="1"/>
  <c r="O935" i="1"/>
  <c r="E16" i="4"/>
  <c r="H16" i="4" s="1"/>
  <c r="O237" i="1"/>
  <c r="E10" i="4"/>
  <c r="H10" i="4" s="1"/>
  <c r="F8" i="4"/>
  <c r="F7" i="5"/>
  <c r="F15" i="4"/>
  <c r="F15" i="5"/>
  <c r="I3" i="1"/>
  <c r="D16" i="4"/>
  <c r="D7" i="4" s="1"/>
  <c r="D6" i="4" s="1"/>
  <c r="D5" i="4" s="1"/>
  <c r="D4" i="4" s="1"/>
  <c r="D3" i="4" s="1"/>
  <c r="D15" i="5"/>
  <c r="O352" i="1"/>
  <c r="F11" i="4"/>
  <c r="H11" i="4" s="1"/>
  <c r="F9" i="5"/>
  <c r="L3" i="1"/>
  <c r="J3" i="1"/>
  <c r="O4" i="1"/>
  <c r="C4" i="5" l="1"/>
  <c r="G4" i="5"/>
  <c r="G3" i="5" s="1"/>
  <c r="F13" i="5"/>
  <c r="F7" i="4"/>
  <c r="F6" i="4" s="1"/>
  <c r="F5" i="4" s="1"/>
  <c r="F4" i="4" s="1"/>
  <c r="F3" i="4" s="1"/>
  <c r="F4" i="5"/>
  <c r="F3" i="5" s="1"/>
  <c r="H12" i="5"/>
  <c r="E13" i="5"/>
  <c r="H13" i="5" s="1"/>
  <c r="D13" i="5"/>
  <c r="D4" i="5"/>
  <c r="H9" i="5"/>
  <c r="C13" i="5"/>
  <c r="H15" i="4"/>
  <c r="H15" i="5"/>
  <c r="H7" i="5"/>
  <c r="H4" i="5" s="1"/>
  <c r="E4" i="5"/>
  <c r="E3" i="5" s="1"/>
  <c r="H14" i="5"/>
  <c r="H8" i="4"/>
  <c r="E7" i="4"/>
  <c r="E6" i="4" s="1"/>
  <c r="E5" i="4" s="1"/>
  <c r="E4" i="4" s="1"/>
  <c r="E3" i="4" s="1"/>
  <c r="O3" i="1"/>
  <c r="C3" i="5" l="1"/>
  <c r="H7" i="4"/>
  <c r="H6" i="4" s="1"/>
  <c r="H5" i="4" s="1"/>
  <c r="H4" i="4" s="1"/>
  <c r="H3" i="4" s="1"/>
  <c r="D3" i="5"/>
  <c r="H3" i="5"/>
</calcChain>
</file>

<file path=xl/sharedStrings.xml><?xml version="1.0" encoding="utf-8"?>
<sst xmlns="http://schemas.openxmlformats.org/spreadsheetml/2006/main" count="6574" uniqueCount="397">
  <si>
    <t>CFG</t>
  </si>
  <si>
    <t>CP</t>
  </si>
  <si>
    <t>CA-UR</t>
  </si>
  <si>
    <t>COG</t>
  </si>
  <si>
    <t>CONCEPTO</t>
  </si>
  <si>
    <t>APROBADO</t>
  </si>
  <si>
    <t>MODIFICADO</t>
  </si>
  <si>
    <t>COMPROMETIDO</t>
  </si>
  <si>
    <t>DEVENGADO</t>
  </si>
  <si>
    <t>EJERCIDO</t>
  </si>
  <si>
    <t>PAGADO</t>
  </si>
  <si>
    <t>SUBEJERCICIO</t>
  </si>
  <si>
    <t>PRESUPUESTO DE EGRESOS</t>
  </si>
  <si>
    <t>CFF</t>
  </si>
  <si>
    <t>Gasto Corriente</t>
  </si>
  <si>
    <t>Gasto de Capital</t>
  </si>
  <si>
    <t>CTG</t>
  </si>
  <si>
    <t>Amortización de la Deuda y Disminución de Pasivos</t>
  </si>
  <si>
    <t>Relaciones Exteriores</t>
  </si>
  <si>
    <t>Otros Asuntos Sociales</t>
  </si>
  <si>
    <t>Comunicaciones</t>
  </si>
  <si>
    <t>Turismo</t>
  </si>
  <si>
    <t>Adeudos de Ejercicios Fiscales Anteriores</t>
  </si>
  <si>
    <t>Poder Ejecutivo</t>
  </si>
  <si>
    <t>Poder Legislativo</t>
  </si>
  <si>
    <t>Poder Judicial</t>
  </si>
  <si>
    <t>Órganos Autónomos</t>
  </si>
  <si>
    <t>Instituciones Públicas de la Seguridad Social</t>
  </si>
  <si>
    <t>Entidades Paraestatales y Fideicomisos No Empresariales y No Financieros</t>
  </si>
  <si>
    <t>Entidades Paraestatales Empresariales No Financieras con Participación Estatal Mayoritaria</t>
  </si>
  <si>
    <t>Fideicomisos Financieros Públicos con Participación Estatal Mayoritaria</t>
  </si>
  <si>
    <t>CA</t>
  </si>
  <si>
    <t>Gobierno</t>
  </si>
  <si>
    <t>Legislacion</t>
  </si>
  <si>
    <t>Justicia</t>
  </si>
  <si>
    <t>Seguridad Nacional</t>
  </si>
  <si>
    <t>Otros Servicios Generales</t>
  </si>
  <si>
    <t>Desarrollo Social</t>
  </si>
  <si>
    <t>Proteccion Ambiental</t>
  </si>
  <si>
    <t>Salud</t>
  </si>
  <si>
    <t>Educacion</t>
  </si>
  <si>
    <t>Proteccion Social</t>
  </si>
  <si>
    <t>Desarrollo Economico</t>
  </si>
  <si>
    <t>Transporte</t>
  </si>
  <si>
    <t>Coordinacion de la Politica de Gobierno</t>
  </si>
  <si>
    <t>Transacciones de la Deuda Publica / Costo Financiero de la Deuda</t>
  </si>
  <si>
    <t>Asuntos Financieros y Hacendarios</t>
  </si>
  <si>
    <t>Asuntos de Orden Publico y de Seguridad Interior</t>
  </si>
  <si>
    <t>Recreacion, Cultura y Otras Manifestaciones Sociales</t>
  </si>
  <si>
    <t>Agropecuaria, Silvicultura, Pesca y Caza</t>
  </si>
  <si>
    <t>Mineria, Manufacturas y Construccion</t>
  </si>
  <si>
    <t>Transferencias, Participaciones y Aportaciones Entre Diferentes Niveles y Ordenes de Gobierno</t>
  </si>
  <si>
    <t>Ciencia, Tecnologia e Innovacion</t>
  </si>
  <si>
    <t>Fideicomisos Empresariales No Financieros con Participación Estatal Mayoritaria</t>
  </si>
  <si>
    <t>Entidades Paraestatales Empresariales Financieras Monetarias con Participación Estatal Mayoritaria</t>
  </si>
  <si>
    <t>Sector Paraestatal de Gobierno</t>
  </si>
  <si>
    <t>Entidades Paramunicipales Empresariales No Financieras con Participación Estatal Mayoritaria</t>
  </si>
  <si>
    <t>Fideicomisos Paramunicipales Empresariales No Financieros con Participación Estatal Mayoritaria</t>
  </si>
  <si>
    <t>Vivienda y Servicios a la Comunidad</t>
  </si>
  <si>
    <t>Asuntos Económicos, Comerciales y Laborales en General</t>
  </si>
  <si>
    <t>Combustibles y Energía</t>
  </si>
  <si>
    <t>Otras Industrias y Otros Asuntos Económicos</t>
  </si>
  <si>
    <t>Otras no Clasificadas en Funciones Anteriores</t>
  </si>
  <si>
    <t>Saneamiento del Sistema Financiero</t>
  </si>
  <si>
    <t>Entidades Paramunicipales Empresariales Financieras Monetarias con Participación Estatal Mayoritaria</t>
  </si>
  <si>
    <t>Entidades Paraestatales Empresariales Financieras No Monetarias con Participación Estatal Mayoritaria</t>
  </si>
  <si>
    <t>Órgano Ejecutivo Municipal (Ayuntamiento)</t>
  </si>
  <si>
    <t>Total Gobierno General Municipal</t>
  </si>
  <si>
    <t>Total Gobierno General Estatal</t>
  </si>
  <si>
    <t>Entidades Paraestatales Finanacieras No Monetarias con Participacion Estatal Mayoritaria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</si>
  <si>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</si>
  <si>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</si>
  <si>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</si>
  <si>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</si>
  <si>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</si>
  <si>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</si>
  <si>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</si>
  <si>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</si>
  <si>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</si>
  <si>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</si>
  <si>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</si>
  <si>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</si>
  <si>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</si>
  <si>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</si>
  <si>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</si>
  <si>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</si>
  <si>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</si>
  <si>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</si>
  <si>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</si>
  <si>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</si>
  <si>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</si>
  <si>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</si>
  <si>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</si>
  <si>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</si>
  <si>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</si>
  <si>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</si>
  <si>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</si>
  <si>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</si>
  <si>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</si>
  <si>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</si>
  <si>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</si>
  <si>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</si>
  <si>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</si>
  <si>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</si>
  <si>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</si>
  <si>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</si>
  <si>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</si>
  <si>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</si>
  <si>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</si>
  <si>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</si>
  <si>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</si>
  <si>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</si>
  <si>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</si>
  <si>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</si>
  <si>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</si>
  <si>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</si>
  <si>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</si>
  <si>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</si>
  <si>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</si>
  <si>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</si>
  <si>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</si>
  <si>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</si>
  <si>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</si>
  <si>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</si>
  <si>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</si>
  <si>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</si>
  <si>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</si>
  <si>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</si>
  <si>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</si>
  <si>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</si>
  <si>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</si>
  <si>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</si>
  <si>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</si>
  <si>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</si>
  <si>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</si>
  <si>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</si>
  <si>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</si>
  <si>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</si>
  <si>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</si>
  <si>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</si>
  <si>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INVERSIÓN PÚBLICA</t>
  </si>
  <si>
    <t>DEUDA PÚBLICA</t>
  </si>
  <si>
    <t>AMPLIACIONES / REDUCCIONES</t>
  </si>
  <si>
    <t>Pensiones y Jubilaciones</t>
  </si>
  <si>
    <t>@se6#16</t>
  </si>
  <si>
    <t>Bajo protesta de decir verdad declaramos que los Estados Financieros y sus notas, son razonablemente correctos y son responsabilidad del emisor.</t>
  </si>
  <si>
    <t>_________________________</t>
  </si>
  <si>
    <t>Total por Programa/ Unidad 2 (1311) Direccion General</t>
  </si>
  <si>
    <t>1.3.1 Presidencia/Gobernatura</t>
  </si>
  <si>
    <t>4 Ingresos Propios</t>
  </si>
  <si>
    <t>3.1.1.2.0-2 (1311) Dirección General</t>
  </si>
  <si>
    <t>Servicios Personales</t>
  </si>
  <si>
    <t>E: Prestación de Servicios Públicos</t>
  </si>
  <si>
    <t>2.1.1.1.1-Sueldos y salarios</t>
  </si>
  <si>
    <t>Sueldos y salarios base y confianza</t>
  </si>
  <si>
    <t>Asimilables a salarios</t>
  </si>
  <si>
    <t>Salarios por Servicios Eventuales</t>
  </si>
  <si>
    <t>Prima de Antigüedad</t>
  </si>
  <si>
    <t>Prima dominical</t>
  </si>
  <si>
    <t>Prima vacacional</t>
  </si>
  <si>
    <t>Aguinaldo</t>
  </si>
  <si>
    <t>Horas extras</t>
  </si>
  <si>
    <t>Compensaciones salariales</t>
  </si>
  <si>
    <t>T: Aportaciones a la Seguridad Social</t>
  </si>
  <si>
    <t>2.1.1.1.2-Contribuciones sociales</t>
  </si>
  <si>
    <t>Aportaciones I.M.S.S patronal</t>
  </si>
  <si>
    <t>Aportaciones al Infonavit</t>
  </si>
  <si>
    <t>Aportaciones al Afore</t>
  </si>
  <si>
    <t>Seguros múltiples para el personal</t>
  </si>
  <si>
    <t>L: Obligaciones de Cumplimiento de Resolución Judicial</t>
  </si>
  <si>
    <t>Liquidaciones e indemnizaciones</t>
  </si>
  <si>
    <t>Contingencias administrativas</t>
  </si>
  <si>
    <t>Despensas</t>
  </si>
  <si>
    <t>Bono de puntualidad</t>
  </si>
  <si>
    <t>Ayuda por funeral</t>
  </si>
  <si>
    <t>Becas</t>
  </si>
  <si>
    <t>Materiales y Suministros</t>
  </si>
  <si>
    <t>2.1.1.2-Compra de bienes y servicios</t>
  </si>
  <si>
    <t>Materiales y útiles de oficina</t>
  </si>
  <si>
    <t>Materiales y útiles de impresión, reproducción</t>
  </si>
  <si>
    <t>Material estadístico y geográfico</t>
  </si>
  <si>
    <t>Materiales y útiles en equipo informáticos</t>
  </si>
  <si>
    <t>Material de fotofrafía y video</t>
  </si>
  <si>
    <t>Material de limpieza</t>
  </si>
  <si>
    <t>Material didáctico y de apoyo informatico</t>
  </si>
  <si>
    <t>Alimentación de personas</t>
  </si>
  <si>
    <t>Utensilios para el servicio de cafetería</t>
  </si>
  <si>
    <t>Materiales de reparación remodelación</t>
  </si>
  <si>
    <t>Material eléctrico</t>
  </si>
  <si>
    <t>Estructuras y manufacturas</t>
  </si>
  <si>
    <t>Materiales complementarios</t>
  </si>
  <si>
    <t>Materiales red de agua</t>
  </si>
  <si>
    <t>Materiales red de alcantarillado y saneamiento</t>
  </si>
  <si>
    <t>Medicinas y productos farmaceúticos</t>
  </si>
  <si>
    <t>Materiales accesorios y suministros de laboratorio</t>
  </si>
  <si>
    <t>Sustancias químicas</t>
  </si>
  <si>
    <t>Combustible, lubricante y aditivos a funcionarios</t>
  </si>
  <si>
    <t>Combustible vehículos y maquinaria de operación</t>
  </si>
  <si>
    <t>Uniformes personal administrativo</t>
  </si>
  <si>
    <t>Uniformes de operación</t>
  </si>
  <si>
    <t>Prendas de protección</t>
  </si>
  <si>
    <t>Artículos deportivos</t>
  </si>
  <si>
    <t>Refacciones, accesorio y herramientas menores</t>
  </si>
  <si>
    <t>Servicios Generales</t>
  </si>
  <si>
    <t>Servicio de energía eléctrica</t>
  </si>
  <si>
    <t>Servicio de agua potable</t>
  </si>
  <si>
    <t>Servicio telefónico</t>
  </si>
  <si>
    <t>Servicio de radio celular</t>
  </si>
  <si>
    <t>Servicio de conducción dem señales</t>
  </si>
  <si>
    <t>Servicio postal</t>
  </si>
  <si>
    <t>Servicio telegráfico</t>
  </si>
  <si>
    <t>2.1.3.2.2-Arrendamientos de tierras y terrenos</t>
  </si>
  <si>
    <t>Arrendamiento terrenos, edificios</t>
  </si>
  <si>
    <t>Servicio de fotografía fotocopiado</t>
  </si>
  <si>
    <t>Arrendamiento de maquinaria y equipo</t>
  </si>
  <si>
    <t>Otros arrendamiendos</t>
  </si>
  <si>
    <t>Asesoría</t>
  </si>
  <si>
    <t>Servicio de informática, estadística</t>
  </si>
  <si>
    <t>Estudios e investigación</t>
  </si>
  <si>
    <t>Capacitación</t>
  </si>
  <si>
    <t>Servicio de vigilacia</t>
  </si>
  <si>
    <t>Análisis de laboratorio</t>
  </si>
  <si>
    <t>Comisiones bancarias</t>
  </si>
  <si>
    <t>Servicio de seguridad y de traslado</t>
  </si>
  <si>
    <t>Seguros y fianzas</t>
  </si>
  <si>
    <t>Servicio de fletes y maniobras</t>
  </si>
  <si>
    <t>Comisiones por expedición de vales</t>
  </si>
  <si>
    <t>Mantenimiento y conservación de inmuebles</t>
  </si>
  <si>
    <t>Mantenimiento y conservación de mobiliario y equipo de oficina</t>
  </si>
  <si>
    <t>Mantenimiento y conservación de bienes computacionales</t>
  </si>
  <si>
    <t>Mantenimiento y conservación de vehículos</t>
  </si>
  <si>
    <t>Mantenimiento y reparación de maquinaria y equipo menor equipo de pozos</t>
  </si>
  <si>
    <t>Mantenimiento de cárcamos de bombeo</t>
  </si>
  <si>
    <t>Mantenimiento de reactor biológico</t>
  </si>
  <si>
    <t>Mantenimiento de sedimentador secundario (2 módulos)</t>
  </si>
  <si>
    <t>Mantenimiento de digestor de lodos</t>
  </si>
  <si>
    <t>Sistema de desinfección: luz ultravioleta</t>
  </si>
  <si>
    <t>Mantenimiento secado de lodos</t>
  </si>
  <si>
    <t>Gastos de difusión y publicidad</t>
  </si>
  <si>
    <t>Pasajes nacionales</t>
  </si>
  <si>
    <t>Viáticos nacionales</t>
  </si>
  <si>
    <t>Pasajes y viáticos internacionales</t>
  </si>
  <si>
    <t>Espectáculos culturales/eventos especiales</t>
  </si>
  <si>
    <t>Gastos de ceremonial y orden social</t>
  </si>
  <si>
    <t>Congresos, conveniones y exposiciones</t>
  </si>
  <si>
    <t>Gastos de representación</t>
  </si>
  <si>
    <t>Derechos de extracción de agua</t>
  </si>
  <si>
    <t>Pago de derechos de descarga</t>
  </si>
  <si>
    <t>Tenencia</t>
  </si>
  <si>
    <t>Derechos de frecuencia de comunicación</t>
  </si>
  <si>
    <t>Otros impuestos y derechos</t>
  </si>
  <si>
    <t>2% de impuesto al hospedaje</t>
  </si>
  <si>
    <t>Gastos menores</t>
  </si>
  <si>
    <t>Otros</t>
  </si>
  <si>
    <t>2.1.1.1.3-Impuestos sobre nóminas</t>
  </si>
  <si>
    <t>Impuestos sobre nóminas</t>
  </si>
  <si>
    <t>Bienes Muebles, Inmuebles e Intangibles</t>
  </si>
  <si>
    <t>2.2.2.2.3-Otra maquinaria y equipo</t>
  </si>
  <si>
    <t>Mobiliario</t>
  </si>
  <si>
    <t>2.2.2.2.2-Equipo de tecnología de la información y comunicaciones</t>
  </si>
  <si>
    <t>Computadoras y servidores</t>
  </si>
  <si>
    <t>Impresoras y multifuncionales</t>
  </si>
  <si>
    <t>No breack</t>
  </si>
  <si>
    <t>Cámaras fotográficas y de video</t>
  </si>
  <si>
    <t>2.2.2.2.1-Equipo de transporte</t>
  </si>
  <si>
    <t>Camionetas</t>
  </si>
  <si>
    <t>Motocicletas, motonetas y bicicletas</t>
  </si>
  <si>
    <t>Maquinaria auxiliar de contracción</t>
  </si>
  <si>
    <t>Radio comunicación</t>
  </si>
  <si>
    <t>Equipo de desasolve/desbrozadora/podadora</t>
  </si>
  <si>
    <t>2.2.2.5.3-Programas de informática y bases de datos</t>
  </si>
  <si>
    <t>Software</t>
  </si>
  <si>
    <t>2.2.5.2-Activos Intangibles no Producidos</t>
  </si>
  <si>
    <t>Franquicias (Titulos de Concesión)</t>
  </si>
  <si>
    <t>Inversión Pública</t>
  </si>
  <si>
    <t>K: Proyectos de Inversión</t>
  </si>
  <si>
    <t>2.2.1-Construcciones en Proceso</t>
  </si>
  <si>
    <t>Red de agua, tanques</t>
  </si>
  <si>
    <t>Red de alcantarillado</t>
  </si>
  <si>
    <t>Obras recurso prodder</t>
  </si>
  <si>
    <t>Equipamiento de pozos</t>
  </si>
  <si>
    <t>Total por Programa/ Unidad 3 (1511)  Recursos Humanos</t>
  </si>
  <si>
    <t>1.5.1 Asuntos Financieros</t>
  </si>
  <si>
    <t>3.1.1.2.0-3 (1511) Recursos Humanos</t>
  </si>
  <si>
    <t>Alimentación de animales</t>
  </si>
  <si>
    <t>Total por Programa/ Unidad 4 (1521) Contabilidad</t>
  </si>
  <si>
    <t>1.5.2 Asuntos Hacendarios</t>
  </si>
  <si>
    <t>3.1.1.2.0-4 (1521) Contabilidad</t>
  </si>
  <si>
    <t>Total por Programa/ Unidad 5  (1522) Comercializacion</t>
  </si>
  <si>
    <t>3.1.1.2.0-5 (1522) Comercialización</t>
  </si>
  <si>
    <t>Total por Programa/ Unidad 8 (1831) Comunicación Social</t>
  </si>
  <si>
    <t>1.8.3 Servicios de Comunicación y Medios</t>
  </si>
  <si>
    <t>3.1.1.2.0-8 (1831) Comunicación Social</t>
  </si>
  <si>
    <t>Equipo de sonido</t>
  </si>
  <si>
    <t>Total por Programa/ Unidad 6 (1851) Informática</t>
  </si>
  <si>
    <t>1.8.5 Otros</t>
  </si>
  <si>
    <t>3.1.1.2.0-6 (1851) Informática</t>
  </si>
  <si>
    <t>Total por Programa/ Unidad 7 (2131)  Saneamiento</t>
  </si>
  <si>
    <t>2.1.3 Ordenación de Agua Residuales, Drenaje y Alcantarillado</t>
  </si>
  <si>
    <t>3.1.1.2.0-7 (2131) Saneamiento</t>
  </si>
  <si>
    <t>Equipo de laboratorio</t>
  </si>
  <si>
    <t>Total por Programa/ Unidad 1  (2231) Operación y Mantenimiento</t>
  </si>
  <si>
    <t>2.2.3 Abastecimiento de agua</t>
  </si>
  <si>
    <t>3.1.1.2.0-1 (2231) Operación y Mantenimiento</t>
  </si>
  <si>
    <t>Equipo de Medición</t>
  </si>
  <si>
    <t>Bomba charquera</t>
  </si>
  <si>
    <t>Edificación (archivo muerto en p-4)</t>
  </si>
  <si>
    <t>Total por Programa/ Unidad 9  (2232) Ingeniería y Planeación</t>
  </si>
  <si>
    <t>3.1.1.2.0-1 (2232) Ingenieria y Planeación</t>
  </si>
  <si>
    <t>3.0.0.0.0</t>
  </si>
  <si>
    <t>SECTOR PUBLICO MUNICIPAL</t>
  </si>
  <si>
    <t>3.1.0.0.0</t>
  </si>
  <si>
    <t>SECTOR PUBLICO NO FINANCIERO</t>
  </si>
  <si>
    <t>3.1.1.0.0</t>
  </si>
  <si>
    <t>GOBIERNO GENERAL MUNICIPAL</t>
  </si>
  <si>
    <t>3.1.1.2.0</t>
  </si>
  <si>
    <t>3.1.1.2.0-2 (1311)</t>
  </si>
  <si>
    <t>Dirección General</t>
  </si>
  <si>
    <t>3.1.1.2.0-3 (1511)</t>
  </si>
  <si>
    <t>Recursos Humanos</t>
  </si>
  <si>
    <t>3.1.1.2.0-4 (1521)</t>
  </si>
  <si>
    <t>Contabilidad</t>
  </si>
  <si>
    <t>3.1.1.2.0-5 (1522)</t>
  </si>
  <si>
    <t>Comercialización</t>
  </si>
  <si>
    <t>3.1.1.2.0-8 (1831)</t>
  </si>
  <si>
    <t>Comunicación Social</t>
  </si>
  <si>
    <t>3.1.1.2.0-6 (1851)</t>
  </si>
  <si>
    <t>Informática</t>
  </si>
  <si>
    <t>3.1.1.2.0-7 (2131)</t>
  </si>
  <si>
    <t>Saneamiento</t>
  </si>
  <si>
    <t>3.1.1.2.0-1 (2231)</t>
  </si>
  <si>
    <t>Operación y Mantenimiento</t>
  </si>
  <si>
    <t>3.1.1.2.0-1 (2232)</t>
  </si>
  <si>
    <t>Ingenieria y Planeación</t>
  </si>
  <si>
    <t>Junta Municipal de Agua Potable y Alcantarillado de Cortazar, Gto.
ESTADO ANALÍTICO DEL EJERCICIO DEL PRESUPUESTO DE EGRESOS
DEL 01 DE ENERO AL 31 DE MARZO DE 2017</t>
  </si>
  <si>
    <t>Junta Municipal de Agua Potable y Alcantarillado de Cortazar, Gto.
ESTADO ANALÍTICO DEL EJERCICIO DEL PRESUPUESTO DE EGRESOS POR OBJETO DEL GASTO (CAPÍTULO Y CONCEPTO)
DEL 01 DE ENERO AL 31 DE MARZO DE 2017</t>
  </si>
  <si>
    <t>Junta Municipal de Agua Potable y Alcantarillado de Cortazar, Gto.
ESTADO ANALÍTICO DEL EJERCICIO DEL PRESUPUESTO DE EGRESOS CLASIFICACIÓN ECONÓMICA (POR TIPO DE GASTO)
DEL 01 DE ENERO AL 31 DE MARZO DE 2017</t>
  </si>
  <si>
    <t>Junta Municipal de Agua Potable y Alcantarillado de Cortazar, Gto.
ESTADO ANALÍTICO DEL EJERCICIO DEL PRESUPUESTO DE EGRESOS CLASIFICACIÓN FUNCIONAL (FINALIDAD Y FUNCIÓN)
DEL 01 DE ENERO AL 31 DE MARZO DE 2017</t>
  </si>
  <si>
    <t>Junta Municipal de Agua Potable y Alcantarillado de Cortazar, Gto.
ESTADO ANALÍTICO DEL EJERCICIO DEL PRESUPUESTO DE EGRESOS CLASIFICACIÓN ADMINISTRATIVA
DEL 01 DE ENERO AL 31 DE MARZO DE 2017</t>
  </si>
  <si>
    <t>Junta Municipal de Agua Potable y Alcantarillado de Cortazar, Gto.
GASTO POR CATEGORÍA PROGRAMÁTICA
DEL 01 DE ENERO AL 31 DE DICIEMBRE DE 2016</t>
  </si>
  <si>
    <t>Programas</t>
  </si>
  <si>
    <t>Subsidios: Sector Social y Privado o Entidades Federativas y Municipios</t>
  </si>
  <si>
    <t>S</t>
  </si>
  <si>
    <t>Sujetos a Reglas de Operación</t>
  </si>
  <si>
    <t>U</t>
  </si>
  <si>
    <t>Otros Subsidios</t>
  </si>
  <si>
    <t>Desempeño de las Funciones</t>
  </si>
  <si>
    <t>E</t>
  </si>
  <si>
    <t>Prestación de Servicios Públicos</t>
  </si>
  <si>
    <t>B</t>
  </si>
  <si>
    <t>Provisión de Bienes Públicos</t>
  </si>
  <si>
    <t>P</t>
  </si>
  <si>
    <t>Planeación, seguimiento y evaluación de políticas públicas</t>
  </si>
  <si>
    <t>F</t>
  </si>
  <si>
    <t>Promoción y fomento</t>
  </si>
  <si>
    <t>G</t>
  </si>
  <si>
    <t>Regulación y supervisión</t>
  </si>
  <si>
    <t>A</t>
  </si>
  <si>
    <t>Funciones de las Fuerzas Armadas (Únicamente Gobierno Federal)</t>
  </si>
  <si>
    <t>R</t>
  </si>
  <si>
    <t>Específicos</t>
  </si>
  <si>
    <t>K</t>
  </si>
  <si>
    <t>Proyectos de Inversión</t>
  </si>
  <si>
    <t>Administrativos y de Apoyo</t>
  </si>
  <si>
    <t>M</t>
  </si>
  <si>
    <t>Apoyo al proceso presupuestario y para mejorar la eficiencia institucional</t>
  </si>
  <si>
    <t>O</t>
  </si>
  <si>
    <t>Apoyo a la función pública y al mejoramiento de la gestión</t>
  </si>
  <si>
    <t>W</t>
  </si>
  <si>
    <t>Operaciones ajenas</t>
  </si>
  <si>
    <t>Compromisos</t>
  </si>
  <si>
    <t>L</t>
  </si>
  <si>
    <t>Obligaciones de cumplimiento de resolución jurisdiccional</t>
  </si>
  <si>
    <t>N</t>
  </si>
  <si>
    <t>Desastres Naturales</t>
  </si>
  <si>
    <t>Obligaciones</t>
  </si>
  <si>
    <t>J</t>
  </si>
  <si>
    <t>T</t>
  </si>
  <si>
    <t>Aportaciones a la seguridad social</t>
  </si>
  <si>
    <t>Y</t>
  </si>
  <si>
    <t>Aportaciones a fondos de estabilización</t>
  </si>
  <si>
    <t>Z</t>
  </si>
  <si>
    <t>Aportaciones a fondos de inversión y reestructura de pensiones</t>
  </si>
  <si>
    <t>Programas de Gasto Federalizado</t>
  </si>
  <si>
    <t>I</t>
  </si>
  <si>
    <t>Gasto Federalizado</t>
  </si>
  <si>
    <t>C</t>
  </si>
  <si>
    <t>Participaciones a entidades federativas y municipios</t>
  </si>
  <si>
    <t>D</t>
  </si>
  <si>
    <t>Costo financiero, deuda o apoyos a deudores y ahorradores de la banca</t>
  </si>
  <si>
    <t>H</t>
  </si>
  <si>
    <t>Adeudos de ejercicios fiscales anteriores</t>
  </si>
  <si>
    <t>PRESIDENTE DE CONSEJO DIRECTIVO
ING. ALVARO MONROY CORONA</t>
  </si>
  <si>
    <t>TESORERO DE CONSEJO DIRECTIVO
PROFR. JAVIER QUINTANA AMOLITOS</t>
  </si>
  <si>
    <t>JEFE DE DEPTO DE CONTABILIDAD
C.P. MARIA DE LA LUZ CARACHEO ACOSTA</t>
  </si>
  <si>
    <t>Domo planetario</t>
  </si>
  <si>
    <t>Aire acondicionado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</si>
</sst>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.00_ ;\-#,##0.00\ "/>
  </numFmts>
  <fonts count="24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b/>
      <sz val="8"/>
      <color theme="3"/>
      <name val="Arial"/>
      <family val="2"/>
    </font>
    <font>
      <sz val="8"/>
      <color theme="1"/>
      <name val="Arial"/>
      <family val="2"/>
    </font>
    <font>
      <sz val="9"/>
      <name val="Arial"/>
    </font>
    <font>
      <sz val="9"/>
      <color indexed="8"/>
      <name val="Arial"/>
    </font>
    <font>
      <b/>
      <sz val="9"/>
      <color indexed="8"/>
      <name val="Arial"/>
    </font>
    <font>
      <b/>
      <sz val="9"/>
      <name val="Arial"/>
    </font>
    <font>
      <b/>
      <sz val="8"/>
      <color indexed="8"/>
      <name val="Arial"/>
      <family val="2"/>
    </font>
    <font>
      <b/>
      <sz val="8"/>
      <name val="Calibri"/>
      <family val="2"/>
    </font>
    <font>
      <sz val="8"/>
      <name val="Calibri"/>
      <family val="2"/>
    </font>
    <font>
      <sz val="8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sz val="10"/>
      <color indexed="8"/>
      <name val="Times New Roman"/>
      <family val="2"/>
    </font>
    <font>
      <sz val="10"/>
      <name val="Arial"/>
    </font>
    <font>
      <b/>
      <sz val="8"/>
      <color indexed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6">
    <xf numFmtId="0" fontId="0" fillId="0" borderId="0"/>
    <xf numFmtId="0" fontId="1" fillId="0" borderId="0"/>
    <xf numFmtId="0" fontId="6" fillId="0" borderId="0"/>
    <xf numFmtId="43" fontId="9" fillId="0" borderId="0" applyFont="0" applyFill="0" applyBorder="0" applyAlignment="0" applyProtection="0"/>
    <xf numFmtId="0" fontId="21" fillId="0" borderId="0"/>
    <xf numFmtId="0" fontId="22" fillId="0" borderId="0"/>
  </cellStyleXfs>
  <cellXfs count="151">
    <xf numFmtId="0" fontId="0" fillId="0" borderId="0" xfId="0"/>
    <xf numFmtId="0" fontId="0" fillId="0" borderId="0" xfId="0" applyProtection="1">
      <protection locked="0"/>
    </xf>
    <xf numFmtId="0" fontId="5" fillId="0" borderId="0" xfId="1" applyFont="1" applyBorder="1" applyAlignment="1" applyProtection="1">
      <alignment horizontal="center" vertical="top"/>
    </xf>
    <xf numFmtId="0" fontId="2" fillId="0" borderId="0" xfId="2" applyFont="1" applyFill="1" applyBorder="1" applyAlignment="1" applyProtection="1"/>
    <xf numFmtId="0" fontId="8" fillId="0" borderId="0" xfId="2" applyFont="1" applyFill="1" applyBorder="1" applyAlignment="1" applyProtection="1"/>
    <xf numFmtId="4" fontId="7" fillId="0" borderId="0" xfId="0" applyNumberFormat="1" applyFont="1" applyFill="1" applyBorder="1" applyAlignment="1" applyProtection="1">
      <alignment horizontal="right"/>
      <protection locked="0"/>
    </xf>
    <xf numFmtId="0" fontId="8" fillId="0" borderId="0" xfId="2" applyFont="1" applyFill="1" applyBorder="1" applyAlignment="1" applyProtection="1">
      <alignment horizontal="left"/>
    </xf>
    <xf numFmtId="0" fontId="5" fillId="0" borderId="1" xfId="1" applyFont="1" applyBorder="1" applyAlignment="1" applyProtection="1">
      <alignment horizontal="center" vertical="top"/>
      <protection hidden="1"/>
    </xf>
    <xf numFmtId="0" fontId="2" fillId="0" borderId="2" xfId="2" applyFont="1" applyFill="1" applyBorder="1" applyAlignment="1" applyProtection="1"/>
    <xf numFmtId="0" fontId="0" fillId="0" borderId="4" xfId="0" applyBorder="1" applyAlignment="1" applyProtection="1">
      <alignment horizontal="center"/>
    </xf>
    <xf numFmtId="0" fontId="0" fillId="0" borderId="0" xfId="0" applyBorder="1" applyProtection="1"/>
    <xf numFmtId="0" fontId="0" fillId="0" borderId="5" xfId="0" applyBorder="1" applyAlignment="1" applyProtection="1">
      <alignment horizontal="center"/>
    </xf>
    <xf numFmtId="0" fontId="0" fillId="0" borderId="6" xfId="0" applyBorder="1" applyProtection="1"/>
    <xf numFmtId="0" fontId="2" fillId="0" borderId="2" xfId="2" applyFont="1" applyFill="1" applyBorder="1" applyAlignment="1" applyProtection="1">
      <alignment wrapText="1"/>
    </xf>
    <xf numFmtId="0" fontId="0" fillId="0" borderId="4" xfId="0" applyFill="1" applyBorder="1" applyAlignment="1" applyProtection="1">
      <alignment horizontal="center"/>
    </xf>
    <xf numFmtId="0" fontId="7" fillId="0" borderId="0" xfId="0" applyFont="1" applyFill="1" applyBorder="1" applyProtection="1"/>
    <xf numFmtId="0" fontId="0" fillId="0" borderId="0" xfId="0" applyFill="1" applyBorder="1" applyProtection="1"/>
    <xf numFmtId="0" fontId="0" fillId="0" borderId="5" xfId="0" applyFill="1" applyBorder="1" applyAlignment="1" applyProtection="1">
      <alignment horizontal="center"/>
    </xf>
    <xf numFmtId="0" fontId="0" fillId="0" borderId="6" xfId="0" applyFill="1" applyBorder="1" applyProtection="1"/>
    <xf numFmtId="0" fontId="4" fillId="0" borderId="4" xfId="0" applyFon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0" fontId="0" fillId="0" borderId="0" xfId="0" applyProtection="1"/>
    <xf numFmtId="0" fontId="5" fillId="0" borderId="1" xfId="1" applyFont="1" applyFill="1" applyBorder="1" applyAlignment="1" applyProtection="1">
      <alignment horizontal="center" vertical="top"/>
      <protection hidden="1"/>
    </xf>
    <xf numFmtId="0" fontId="5" fillId="0" borderId="2" xfId="1" applyFont="1" applyBorder="1" applyAlignment="1" applyProtection="1">
      <alignment horizontal="center" vertical="top"/>
      <protection hidden="1"/>
    </xf>
    <xf numFmtId="0" fontId="4" fillId="0" borderId="4" xfId="0" applyFont="1" applyBorder="1" applyAlignment="1" applyProtection="1">
      <alignment horizontal="center"/>
      <protection hidden="1"/>
    </xf>
    <xf numFmtId="0" fontId="0" fillId="0" borderId="0" xfId="0" applyFont="1" applyProtection="1">
      <protection locked="0"/>
    </xf>
    <xf numFmtId="0" fontId="0" fillId="0" borderId="0" xfId="0" applyFont="1" applyProtection="1"/>
    <xf numFmtId="0" fontId="0" fillId="0" borderId="4" xfId="0" applyFont="1" applyFill="1" applyBorder="1" applyAlignment="1" applyProtection="1">
      <alignment horizontal="center"/>
    </xf>
    <xf numFmtId="0" fontId="0" fillId="0" borderId="0" xfId="0" applyFont="1" applyFill="1" applyBorder="1" applyProtection="1"/>
    <xf numFmtId="0" fontId="0" fillId="0" borderId="0" xfId="0" applyFont="1" applyBorder="1" applyProtection="1">
      <protection locked="0"/>
    </xf>
    <xf numFmtId="0" fontId="0" fillId="0" borderId="5" xfId="0" applyFont="1" applyFill="1" applyBorder="1" applyAlignment="1" applyProtection="1">
      <alignment horizontal="center"/>
    </xf>
    <xf numFmtId="0" fontId="0" fillId="0" borderId="6" xfId="0" applyFont="1" applyFill="1" applyBorder="1" applyProtection="1"/>
    <xf numFmtId="0" fontId="0" fillId="0" borderId="4" xfId="0" applyFont="1" applyBorder="1" applyAlignment="1" applyProtection="1">
      <alignment horizontal="center"/>
    </xf>
    <xf numFmtId="0" fontId="0" fillId="0" borderId="0" xfId="0" applyFont="1" applyBorder="1" applyProtection="1"/>
    <xf numFmtId="0" fontId="0" fillId="0" borderId="5" xfId="0" applyFont="1" applyBorder="1" applyAlignment="1" applyProtection="1">
      <alignment horizontal="center"/>
    </xf>
    <xf numFmtId="0" fontId="0" fillId="0" borderId="6" xfId="0" applyFont="1" applyBorder="1" applyProtection="1"/>
    <xf numFmtId="0" fontId="7" fillId="0" borderId="4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wrapText="1"/>
    </xf>
    <xf numFmtId="0" fontId="0" fillId="0" borderId="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wrapText="1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wrapText="1"/>
    </xf>
    <xf numFmtId="0" fontId="5" fillId="2" borderId="9" xfId="2" applyFont="1" applyFill="1" applyBorder="1" applyAlignment="1">
      <alignment horizontal="center" vertical="center"/>
    </xf>
    <xf numFmtId="4" fontId="5" fillId="2" borderId="9" xfId="2" applyNumberFormat="1" applyFont="1" applyFill="1" applyBorder="1" applyAlignment="1">
      <alignment horizontal="center" vertical="center" wrapText="1"/>
    </xf>
    <xf numFmtId="0" fontId="5" fillId="2" borderId="9" xfId="2" applyFont="1" applyFill="1" applyBorder="1" applyAlignment="1">
      <alignment horizontal="center" vertical="center" wrapText="1"/>
    </xf>
    <xf numFmtId="4" fontId="0" fillId="0" borderId="0" xfId="0" applyNumberFormat="1" applyProtection="1">
      <protection locked="0"/>
    </xf>
    <xf numFmtId="4" fontId="0" fillId="0" borderId="0" xfId="0" applyNumberFormat="1" applyFont="1" applyProtection="1">
      <protection locked="0"/>
    </xf>
    <xf numFmtId="0" fontId="4" fillId="0" borderId="0" xfId="0" applyFont="1"/>
    <xf numFmtId="0" fontId="3" fillId="0" borderId="0" xfId="1" applyFont="1" applyAlignment="1" applyProtection="1">
      <alignment vertical="top"/>
    </xf>
    <xf numFmtId="0" fontId="3" fillId="0" borderId="0" xfId="1" applyFont="1" applyAlignment="1">
      <alignment vertical="top" wrapText="1"/>
    </xf>
    <xf numFmtId="4" fontId="3" fillId="0" borderId="0" xfId="1" applyNumberFormat="1" applyFont="1" applyAlignment="1">
      <alignment vertical="top"/>
    </xf>
    <xf numFmtId="0" fontId="3" fillId="0" borderId="0" xfId="1" applyFont="1" applyAlignment="1">
      <alignment vertical="top"/>
    </xf>
    <xf numFmtId="0" fontId="3" fillId="0" borderId="0" xfId="1" applyFont="1" applyAlignment="1" applyProtection="1">
      <alignment vertical="top" wrapText="1"/>
      <protection locked="0"/>
    </xf>
    <xf numFmtId="0" fontId="3" fillId="0" borderId="0" xfId="1" applyFont="1" applyAlignment="1" applyProtection="1">
      <alignment horizontal="left" vertical="top" wrapText="1" indent="5"/>
      <protection locked="0"/>
    </xf>
    <xf numFmtId="0" fontId="3" fillId="0" borderId="0" xfId="1" applyFont="1" applyAlignment="1" applyProtection="1">
      <alignment vertical="top"/>
      <protection locked="0"/>
    </xf>
    <xf numFmtId="0" fontId="3" fillId="0" borderId="0" xfId="1" applyFont="1" applyBorder="1" applyAlignment="1" applyProtection="1">
      <alignment horizontal="left" vertical="top" wrapText="1" indent="2"/>
      <protection locked="0"/>
    </xf>
    <xf numFmtId="0" fontId="3" fillId="0" borderId="0" xfId="1" applyFont="1" applyBorder="1" applyAlignment="1" applyProtection="1">
      <alignment vertical="top" wrapText="1"/>
      <protection locked="0"/>
    </xf>
    <xf numFmtId="0" fontId="3" fillId="0" borderId="0" xfId="1" applyFont="1" applyBorder="1" applyAlignment="1" applyProtection="1">
      <alignment horizontal="left" vertical="top" wrapText="1"/>
      <protection locked="0"/>
    </xf>
    <xf numFmtId="0" fontId="3" fillId="0" borderId="0" xfId="1" applyFont="1" applyAlignment="1" applyProtection="1">
      <alignment horizontal="center" vertical="top"/>
      <protection locked="0"/>
    </xf>
    <xf numFmtId="49" fontId="10" fillId="0" borderId="13" xfId="2" applyNumberFormat="1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Protection="1">
      <protection locked="0"/>
    </xf>
    <xf numFmtId="0" fontId="11" fillId="0" borderId="13" xfId="2" applyFont="1" applyFill="1" applyBorder="1" applyAlignment="1" applyProtection="1">
      <alignment horizontal="left" vertical="top"/>
      <protection locked="0"/>
    </xf>
    <xf numFmtId="0" fontId="12" fillId="0" borderId="13" xfId="2" applyFont="1" applyFill="1" applyBorder="1" applyAlignment="1" applyProtection="1">
      <alignment horizontal="center"/>
      <protection locked="0"/>
    </xf>
    <xf numFmtId="0" fontId="12" fillId="3" borderId="13" xfId="2" applyFont="1" applyFill="1" applyBorder="1" applyAlignment="1" applyProtection="1">
      <alignment horizontal="left"/>
      <protection locked="0"/>
    </xf>
    <xf numFmtId="4" fontId="12" fillId="4" borderId="13" xfId="2" applyNumberFormat="1" applyFont="1" applyFill="1" applyBorder="1" applyAlignment="1" applyProtection="1">
      <protection locked="0"/>
    </xf>
    <xf numFmtId="4" fontId="10" fillId="0" borderId="13" xfId="0" applyNumberFormat="1" applyFont="1" applyFill="1" applyBorder="1" applyAlignment="1" applyProtection="1">
      <protection locked="0"/>
    </xf>
    <xf numFmtId="49" fontId="10" fillId="0" borderId="13" xfId="2" applyNumberFormat="1" applyFont="1" applyBorder="1" applyAlignment="1" applyProtection="1">
      <alignment horizontal="left" vertical="top" wrapText="1"/>
      <protection locked="0"/>
    </xf>
    <xf numFmtId="0" fontId="12" fillId="0" borderId="13" xfId="2" applyFont="1" applyBorder="1" applyAlignment="1" applyProtection="1">
      <alignment horizontal="left"/>
      <protection locked="0"/>
    </xf>
    <xf numFmtId="4" fontId="12" fillId="0" borderId="13" xfId="2" applyNumberFormat="1" applyFont="1" applyBorder="1" applyAlignment="1" applyProtection="1">
      <protection locked="0"/>
    </xf>
    <xf numFmtId="4" fontId="12" fillId="0" borderId="13" xfId="2" applyNumberFormat="1" applyFont="1" applyFill="1" applyBorder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13" xfId="2" applyFont="1" applyFill="1" applyBorder="1" applyAlignment="1" applyProtection="1">
      <alignment horizontal="center"/>
      <protection locked="0"/>
    </xf>
    <xf numFmtId="0" fontId="10" fillId="0" borderId="13" xfId="2" applyFont="1" applyBorder="1" applyAlignment="1" applyProtection="1">
      <alignment horizontal="left"/>
      <protection locked="0"/>
    </xf>
    <xf numFmtId="4" fontId="10" fillId="0" borderId="13" xfId="3" applyNumberFormat="1" applyFont="1" applyBorder="1" applyAlignment="1" applyProtection="1">
      <alignment vertical="top"/>
      <protection locked="0"/>
    </xf>
    <xf numFmtId="4" fontId="11" fillId="0" borderId="13" xfId="2" applyNumberFormat="1" applyFont="1" applyBorder="1" applyAlignment="1" applyProtection="1">
      <protection locked="0"/>
    </xf>
    <xf numFmtId="4" fontId="10" fillId="0" borderId="13" xfId="3" applyNumberFormat="1" applyFont="1" applyFill="1" applyBorder="1" applyAlignment="1" applyProtection="1">
      <alignment vertical="top"/>
      <protection locked="0"/>
    </xf>
    <xf numFmtId="0" fontId="13" fillId="0" borderId="13" xfId="2" applyFont="1" applyBorder="1" applyAlignment="1" applyProtection="1">
      <alignment horizontal="left"/>
      <protection locked="0"/>
    </xf>
    <xf numFmtId="0" fontId="11" fillId="0" borderId="13" xfId="2" applyFont="1" applyBorder="1" applyAlignment="1" applyProtection="1">
      <alignment horizontal="left"/>
      <protection locked="0"/>
    </xf>
    <xf numFmtId="4" fontId="12" fillId="4" borderId="13" xfId="3" applyNumberFormat="1" applyFont="1" applyFill="1" applyBorder="1" applyAlignment="1" applyProtection="1">
      <protection locked="0"/>
    </xf>
    <xf numFmtId="0" fontId="11" fillId="5" borderId="13" xfId="2" applyFont="1" applyFill="1" applyBorder="1" applyAlignment="1" applyProtection="1">
      <alignment horizontal="center"/>
      <protection locked="0"/>
    </xf>
    <xf numFmtId="4" fontId="11" fillId="0" borderId="13" xfId="2" applyNumberFormat="1" applyFont="1" applyFill="1" applyBorder="1" applyAlignment="1" applyProtection="1">
      <protection locked="0"/>
    </xf>
    <xf numFmtId="0" fontId="12" fillId="0" borderId="13" xfId="2" applyFont="1" applyFill="1" applyBorder="1" applyAlignment="1" applyProtection="1">
      <alignment horizontal="left" vertical="top"/>
      <protection locked="0"/>
    </xf>
    <xf numFmtId="4" fontId="10" fillId="0" borderId="13" xfId="0" applyNumberFormat="1" applyFont="1" applyBorder="1" applyAlignment="1" applyProtection="1">
      <alignment vertical="top"/>
      <protection locked="0"/>
    </xf>
    <xf numFmtId="4" fontId="12" fillId="0" borderId="0" xfId="3" applyNumberFormat="1" applyFont="1" applyAlignment="1" applyProtection="1">
      <protection locked="0"/>
    </xf>
    <xf numFmtId="164" fontId="14" fillId="0" borderId="2" xfId="3" applyNumberFormat="1" applyFont="1" applyFill="1" applyBorder="1" applyAlignment="1" applyProtection="1">
      <alignment horizontal="right" vertical="center"/>
      <protection locked="0"/>
    </xf>
    <xf numFmtId="164" fontId="14" fillId="0" borderId="3" xfId="3" applyNumberFormat="1" applyFont="1" applyFill="1" applyBorder="1" applyAlignment="1" applyProtection="1">
      <alignment horizontal="right" vertical="center"/>
      <protection locked="0"/>
    </xf>
    <xf numFmtId="164" fontId="15" fillId="0" borderId="0" xfId="3" applyNumberFormat="1" applyFont="1" applyFill="1" applyBorder="1" applyAlignment="1" applyProtection="1">
      <alignment horizontal="right" vertical="center"/>
      <protection locked="0"/>
    </xf>
    <xf numFmtId="164" fontId="14" fillId="0" borderId="7" xfId="3" applyNumberFormat="1" applyFont="1" applyFill="1" applyBorder="1" applyAlignment="1" applyProtection="1">
      <alignment horizontal="right" vertical="center"/>
      <protection locked="0"/>
    </xf>
    <xf numFmtId="164" fontId="16" fillId="0" borderId="0" xfId="3" applyNumberFormat="1" applyFont="1" applyFill="1" applyBorder="1" applyAlignment="1" applyProtection="1">
      <alignment horizontal="right" vertical="center"/>
      <protection locked="0"/>
    </xf>
    <xf numFmtId="164" fontId="17" fillId="0" borderId="7" xfId="3" applyNumberFormat="1" applyFont="1" applyFill="1" applyBorder="1" applyAlignment="1" applyProtection="1">
      <alignment horizontal="right" vertical="center"/>
      <protection locked="0"/>
    </xf>
    <xf numFmtId="164" fontId="16" fillId="0" borderId="6" xfId="3" applyNumberFormat="1" applyFont="1" applyFill="1" applyBorder="1" applyAlignment="1" applyProtection="1">
      <alignment horizontal="right" vertical="center"/>
      <protection locked="0"/>
    </xf>
    <xf numFmtId="164" fontId="17" fillId="0" borderId="8" xfId="3" applyNumberFormat="1" applyFont="1" applyFill="1" applyBorder="1" applyAlignment="1" applyProtection="1">
      <alignment horizontal="right" vertical="center"/>
      <protection locked="0"/>
    </xf>
    <xf numFmtId="4" fontId="18" fillId="0" borderId="2" xfId="0" applyNumberFormat="1" applyFont="1" applyFill="1" applyBorder="1" applyAlignment="1" applyProtection="1">
      <alignment horizontal="right"/>
      <protection locked="0"/>
    </xf>
    <xf numFmtId="4" fontId="18" fillId="0" borderId="3" xfId="0" applyNumberFormat="1" applyFont="1" applyFill="1" applyBorder="1" applyAlignment="1" applyProtection="1">
      <alignment horizontal="right"/>
      <protection locked="0"/>
    </xf>
    <xf numFmtId="4" fontId="19" fillId="0" borderId="0" xfId="0" applyNumberFormat="1" applyFont="1" applyBorder="1" applyProtection="1">
      <protection locked="0"/>
    </xf>
    <xf numFmtId="4" fontId="18" fillId="0" borderId="0" xfId="0" applyNumberFormat="1" applyFont="1" applyBorder="1" applyProtection="1">
      <protection locked="0"/>
    </xf>
    <xf numFmtId="4" fontId="18" fillId="0" borderId="7" xfId="0" applyNumberFormat="1" applyFont="1" applyBorder="1" applyProtection="1">
      <protection locked="0"/>
    </xf>
    <xf numFmtId="4" fontId="20" fillId="0" borderId="0" xfId="0" applyNumberFormat="1" applyFont="1" applyBorder="1" applyProtection="1">
      <protection locked="0"/>
    </xf>
    <xf numFmtId="4" fontId="20" fillId="0" borderId="7" xfId="0" applyNumberFormat="1" applyFont="1" applyBorder="1" applyProtection="1">
      <protection locked="0"/>
    </xf>
    <xf numFmtId="4" fontId="20" fillId="0" borderId="6" xfId="0" applyNumberFormat="1" applyFont="1" applyBorder="1" applyProtection="1">
      <protection locked="0"/>
    </xf>
    <xf numFmtId="4" fontId="18" fillId="0" borderId="9" xfId="0" applyNumberFormat="1" applyFont="1" applyFill="1" applyBorder="1" applyAlignment="1" applyProtection="1">
      <alignment horizontal="right"/>
      <protection locked="0"/>
    </xf>
    <xf numFmtId="4" fontId="18" fillId="0" borderId="9" xfId="0" applyNumberFormat="1" applyFont="1" applyBorder="1" applyProtection="1">
      <protection locked="0"/>
    </xf>
    <xf numFmtId="4" fontId="19" fillId="0" borderId="9" xfId="0" applyNumberFormat="1" applyFont="1" applyBorder="1" applyProtection="1">
      <protection locked="0"/>
    </xf>
    <xf numFmtId="0" fontId="19" fillId="0" borderId="9" xfId="0" applyFont="1" applyFill="1" applyBorder="1" applyProtection="1">
      <protection locked="0"/>
    </xf>
    <xf numFmtId="4" fontId="18" fillId="0" borderId="9" xfId="0" applyNumberFormat="1" applyFont="1" applyFill="1" applyBorder="1" applyAlignment="1" applyProtection="1">
      <protection locked="0"/>
    </xf>
    <xf numFmtId="0" fontId="20" fillId="0" borderId="9" xfId="2" applyFont="1" applyFill="1" applyBorder="1" applyAlignment="1" applyProtection="1">
      <alignment horizontal="left" vertical="top"/>
      <protection locked="0"/>
    </xf>
    <xf numFmtId="0" fontId="17" fillId="0" borderId="0" xfId="5" applyFont="1" applyProtection="1"/>
    <xf numFmtId="0" fontId="14" fillId="6" borderId="9" xfId="4" applyFont="1" applyFill="1" applyBorder="1" applyAlignment="1">
      <alignment horizontal="center" vertical="center" wrapText="1"/>
    </xf>
    <xf numFmtId="0" fontId="14" fillId="6" borderId="9" xfId="4" applyFont="1" applyFill="1" applyBorder="1" applyAlignment="1">
      <alignment horizontal="center" vertical="center"/>
    </xf>
    <xf numFmtId="4" fontId="14" fillId="6" borderId="9" xfId="4" applyNumberFormat="1" applyFont="1" applyFill="1" applyBorder="1" applyAlignment="1">
      <alignment horizontal="center" vertical="center" wrapText="1"/>
    </xf>
    <xf numFmtId="0" fontId="23" fillId="0" borderId="1" xfId="1" applyFont="1" applyBorder="1" applyAlignment="1" applyProtection="1">
      <alignment horizontal="center" vertical="top"/>
      <protection hidden="1"/>
    </xf>
    <xf numFmtId="0" fontId="2" fillId="0" borderId="2" xfId="4" applyFont="1" applyFill="1" applyBorder="1" applyAlignment="1" applyProtection="1">
      <alignment wrapText="1"/>
    </xf>
    <xf numFmtId="4" fontId="18" fillId="0" borderId="2" xfId="5" applyNumberFormat="1" applyFont="1" applyFill="1" applyBorder="1" applyAlignment="1" applyProtection="1">
      <alignment horizontal="right"/>
      <protection locked="0"/>
    </xf>
    <xf numFmtId="4" fontId="18" fillId="0" borderId="3" xfId="5" applyNumberFormat="1" applyFont="1" applyFill="1" applyBorder="1" applyAlignment="1" applyProtection="1">
      <alignment horizontal="right"/>
      <protection locked="0"/>
    </xf>
    <xf numFmtId="0" fontId="23" fillId="0" borderId="4" xfId="1" applyFont="1" applyBorder="1" applyAlignment="1" applyProtection="1">
      <alignment horizontal="center" vertical="top"/>
      <protection hidden="1"/>
    </xf>
    <xf numFmtId="0" fontId="3" fillId="0" borderId="0" xfId="4" applyFont="1" applyFill="1" applyBorder="1" applyAlignment="1" applyProtection="1">
      <alignment wrapText="1"/>
    </xf>
    <xf numFmtId="4" fontId="18" fillId="0" borderId="0" xfId="5" applyNumberFormat="1" applyFont="1" applyFill="1" applyBorder="1" applyAlignment="1" applyProtection="1">
      <alignment horizontal="right"/>
      <protection locked="0"/>
    </xf>
    <xf numFmtId="4" fontId="18" fillId="0" borderId="7" xfId="5" applyNumberFormat="1" applyFont="1" applyFill="1" applyBorder="1" applyAlignment="1" applyProtection="1">
      <alignment horizontal="right"/>
      <protection locked="0"/>
    </xf>
    <xf numFmtId="0" fontId="14" fillId="0" borderId="0" xfId="5" applyFont="1" applyBorder="1" applyAlignment="1" applyProtection="1">
      <alignment horizontal="left" indent="1"/>
    </xf>
    <xf numFmtId="4" fontId="18" fillId="0" borderId="0" xfId="5" applyNumberFormat="1" applyFont="1" applyBorder="1" applyProtection="1">
      <protection locked="0"/>
    </xf>
    <xf numFmtId="4" fontId="18" fillId="0" borderId="7" xfId="5" applyNumberFormat="1" applyFont="1" applyBorder="1" applyProtection="1">
      <protection locked="0"/>
    </xf>
    <xf numFmtId="0" fontId="17" fillId="0" borderId="4" xfId="5" applyFont="1" applyBorder="1" applyAlignment="1" applyProtection="1">
      <alignment horizontal="center"/>
    </xf>
    <xf numFmtId="0" fontId="17" fillId="0" borderId="0" xfId="5" applyFont="1" applyBorder="1" applyAlignment="1" applyProtection="1">
      <alignment horizontal="left" indent="2"/>
    </xf>
    <xf numFmtId="4" fontId="20" fillId="0" borderId="0" xfId="5" applyNumberFormat="1" applyFont="1" applyBorder="1" applyProtection="1">
      <protection locked="0"/>
    </xf>
    <xf numFmtId="4" fontId="20" fillId="0" borderId="7" xfId="5" applyNumberFormat="1" applyFont="1" applyBorder="1" applyProtection="1">
      <protection locked="0"/>
    </xf>
    <xf numFmtId="0" fontId="17" fillId="0" borderId="0" xfId="5" applyFont="1" applyFill="1" applyBorder="1" applyAlignment="1" applyProtection="1">
      <alignment horizontal="left"/>
    </xf>
    <xf numFmtId="0" fontId="17" fillId="0" borderId="5" xfId="5" applyFont="1" applyBorder="1" applyAlignment="1" applyProtection="1">
      <alignment horizontal="center"/>
    </xf>
    <xf numFmtId="0" fontId="17" fillId="0" borderId="6" xfId="5" applyFont="1" applyFill="1" applyBorder="1" applyAlignment="1" applyProtection="1">
      <alignment horizontal="left"/>
    </xf>
    <xf numFmtId="4" fontId="20" fillId="0" borderId="6" xfId="5" applyNumberFormat="1" applyFont="1" applyBorder="1" applyProtection="1">
      <protection locked="0"/>
    </xf>
    <xf numFmtId="4" fontId="20" fillId="0" borderId="8" xfId="5" applyNumberFormat="1" applyFont="1" applyBorder="1" applyProtection="1">
      <protection locked="0"/>
    </xf>
    <xf numFmtId="0" fontId="17" fillId="0" borderId="0" xfId="5" applyFont="1" applyProtection="1">
      <protection locked="0"/>
    </xf>
    <xf numFmtId="0" fontId="20" fillId="0" borderId="0" xfId="5" applyFont="1" applyProtection="1">
      <protection locked="0"/>
    </xf>
    <xf numFmtId="4" fontId="20" fillId="0" borderId="0" xfId="5" applyNumberFormat="1" applyFont="1" applyProtection="1">
      <protection locked="0"/>
    </xf>
    <xf numFmtId="0" fontId="11" fillId="0" borderId="0" xfId="5" applyFont="1" applyProtection="1"/>
    <xf numFmtId="4" fontId="17" fillId="0" borderId="0" xfId="5" applyNumberFormat="1" applyFont="1" applyProtection="1">
      <protection locked="0"/>
    </xf>
    <xf numFmtId="0" fontId="23" fillId="7" borderId="9" xfId="2" applyFont="1" applyFill="1" applyBorder="1" applyAlignment="1">
      <alignment horizontal="center" vertical="center"/>
    </xf>
    <xf numFmtId="0" fontId="23" fillId="7" borderId="14" xfId="2" applyFont="1" applyFill="1" applyBorder="1" applyAlignment="1">
      <alignment horizontal="center" vertical="center"/>
    </xf>
    <xf numFmtId="4" fontId="23" fillId="7" borderId="14" xfId="2" applyNumberFormat="1" applyFont="1" applyFill="1" applyBorder="1" applyAlignment="1">
      <alignment horizontal="center" vertical="center" wrapText="1"/>
    </xf>
    <xf numFmtId="4" fontId="7" fillId="0" borderId="13" xfId="0" applyNumberFormat="1" applyFont="1" applyBorder="1"/>
    <xf numFmtId="0" fontId="0" fillId="0" borderId="13" xfId="0" applyBorder="1"/>
    <xf numFmtId="4" fontId="0" fillId="0" borderId="13" xfId="0" applyNumberFormat="1" applyFont="1" applyBorder="1"/>
    <xf numFmtId="4" fontId="0" fillId="0" borderId="0" xfId="0" applyNumberFormat="1"/>
    <xf numFmtId="0" fontId="20" fillId="0" borderId="15" xfId="2" applyFont="1" applyFill="1" applyBorder="1" applyAlignment="1" applyProtection="1">
      <alignment horizontal="center"/>
      <protection locked="0"/>
    </xf>
    <xf numFmtId="0" fontId="19" fillId="0" borderId="13" xfId="2" applyFont="1" applyBorder="1" applyAlignment="1" applyProtection="1">
      <alignment horizontal="left"/>
      <protection locked="0"/>
    </xf>
    <xf numFmtId="0" fontId="14" fillId="6" borderId="10" xfId="4" applyFont="1" applyFill="1" applyBorder="1" applyAlignment="1" applyProtection="1">
      <alignment horizontal="center" vertical="center" wrapText="1"/>
      <protection locked="0"/>
    </xf>
    <xf numFmtId="0" fontId="14" fillId="6" borderId="11" xfId="4" applyFont="1" applyFill="1" applyBorder="1" applyAlignment="1" applyProtection="1">
      <alignment horizontal="center" vertical="center" wrapText="1"/>
      <protection locked="0"/>
    </xf>
    <xf numFmtId="0" fontId="14" fillId="6" borderId="12" xfId="4" applyFont="1" applyFill="1" applyBorder="1" applyAlignment="1" applyProtection="1">
      <alignment horizontal="center" vertical="center" wrapText="1"/>
      <protection locked="0"/>
    </xf>
    <xf numFmtId="0" fontId="5" fillId="2" borderId="10" xfId="2" applyFont="1" applyFill="1" applyBorder="1" applyAlignment="1" applyProtection="1">
      <alignment horizontal="center" vertical="center" wrapText="1"/>
      <protection locked="0"/>
    </xf>
    <xf numFmtId="0" fontId="5" fillId="2" borderId="11" xfId="2" applyFont="1" applyFill="1" applyBorder="1" applyAlignment="1" applyProtection="1">
      <alignment horizontal="center" vertical="center" wrapText="1"/>
      <protection locked="0"/>
    </xf>
    <xf numFmtId="0" fontId="5" fillId="2" borderId="12" xfId="2" applyFont="1" applyFill="1" applyBorder="1" applyAlignment="1" applyProtection="1">
      <alignment horizontal="center" vertical="center" wrapText="1"/>
      <protection locked="0"/>
    </xf>
  </cellXfs>
  <cellStyles count="6">
    <cellStyle name="Millares" xfId="3" builtinId="3"/>
    <cellStyle name="Normal" xfId="0" builtinId="0"/>
    <cellStyle name="Normal 2" xfId="5"/>
    <cellStyle name="Normal 2 2" xfId="1"/>
    <cellStyle name="Normal 3" xfId="2"/>
    <cellStyle name="Normal 3 2" xfId="4"/>
  </cellStyles>
  <dxfs count="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COIWIN" ddeTopic="MATRIZ">
    <ddeItems>
      <ddeItem name="@CTA[8-2-1-1,F,#4]" advise="1">
        <values>
          <value>
            <val>17584398</val>
          </value>
        </values>
      </ddeItem>
      <ddeItem name="@CTA[8-2-1-1-1,F,#5]" advise="1">
        <values>
          <value>
            <val>9706928</val>
          </value>
        </values>
      </ddeItem>
      <ddeItem name="@CTA[8-2-1-1-1-1131,F,1,#6]" advise="1">
        <values>
          <value>
            <val>3646544</val>
          </value>
        </values>
      </ddeItem>
      <ddeItem name="@CTA[8-2-1-1-1-1131,F,2,#6]" advise="1">
        <values>
          <value>
            <val>581126</val>
          </value>
        </values>
      </ddeItem>
      <ddeItem name="@CTA[8-2-1-1-1-1131,F,3,#6]" advise="1">
        <values>
          <value>
            <val>1121744</val>
          </value>
        </values>
      </ddeItem>
      <ddeItem name="@CTA[8-2-1-1-1-1131,F,4,#6]" advise="1">
        <values>
          <value>
            <val>765036</val>
          </value>
        </values>
      </ddeItem>
      <ddeItem name="@CTA[8-2-1-1-1-1131,F,5,#6]" advise="1">
        <values>
          <value>
            <val>1104102</val>
          </value>
        </values>
      </ddeItem>
      <ddeItem name="@CTA[8-2-1-1-1-1131,F,6,#6]" advise="1">
        <values>
          <value>
            <val>303385</val>
          </value>
        </values>
      </ddeItem>
      <ddeItem name="@CTA[8-2-1-1-1-1131,F,7,#6]" advise="1">
        <values>
          <value>
            <val>1033896</val>
          </value>
        </values>
      </ddeItem>
      <ddeItem name="@CTA[8-2-1-1-1-1131,F,8,#6]" advise="1">
        <values>
          <value>
            <val>368999</val>
          </value>
        </values>
      </ddeItem>
      <ddeItem name="@CTA[8-2-1-1-1-1131,F,9,#6]" advise="1">
        <values>
          <value>
            <val>782096</val>
          </value>
        </values>
      </ddeItem>
      <ddeItem name="@CTA[8-2-1-1-2,F,#5]" advise="1">
        <values>
          <value>
            <val>760618</val>
          </value>
        </values>
      </ddeItem>
      <ddeItem name="@CTA[8-2-1-1-2-1211,F,1,#6]" advise="1">
        <values>
          <value>
            <val>0</val>
          </value>
        </values>
      </ddeItem>
      <ddeItem name="@CTA[8-2-1-1-2-1211,F,2,#6]" advise="1">
        <values>
          <value>
            <val>589160</val>
          </value>
        </values>
      </ddeItem>
      <ddeItem name="@CTA[8-2-1-1-2-1211,F,3,#6]" advise="1">
        <values>
          <value>
            <val>0</val>
          </value>
        </values>
      </ddeItem>
      <ddeItem name="@CTA[8-2-1-1-2-1211,F,4,#6]" advise="1">
        <values>
          <value>
            <val>0</val>
          </value>
        </values>
      </ddeItem>
      <ddeItem name="@CTA[8-2-1-1-2-1211,F,5,#6]" advise="1">
        <values>
          <value>
            <val>0</val>
          </value>
        </values>
      </ddeItem>
      <ddeItem name="@CTA[8-2-1-1-2-1211,F,6,#6]" advise="1">
        <values>
          <value>
            <val>0</val>
          </value>
        </values>
      </ddeItem>
      <ddeItem name="@CTA[8-2-1-1-2-1211,F,7,#6]" advise="1">
        <values>
          <value>
            <val>0</val>
          </value>
        </values>
      </ddeItem>
      <ddeItem name="@CTA[8-2-1-1-2-1211,F,8,#6]" advise="1">
        <values>
          <value t="nil">
            <val>1</val>
          </value>
        </values>
      </ddeItem>
      <ddeItem name="@CTA[8-2-1-1-2-1211,F,9,#6]" advise="1">
        <values>
          <value t="nil">
            <val>1</val>
          </value>
        </values>
      </ddeItem>
      <ddeItem name="@CTA[8-2-1-1-2-1221,F,1,#6]" advise="1">
        <values>
          <value>
            <val>154397</val>
          </value>
        </values>
      </ddeItem>
      <ddeItem name="@CTA[8-2-1-1-2-1221,F,2,#6]" advise="1">
        <values>
          <value>
            <val>0</val>
          </value>
        </values>
      </ddeItem>
      <ddeItem name="@CTA[8-2-1-1-2-1221,F,3,#6]" advise="1">
        <values>
          <value>
            <val>4204</val>
          </value>
        </values>
      </ddeItem>
      <ddeItem name="@CTA[8-2-1-1-2-1221,F,4,#6]" advise="1">
        <values>
          <value t="nil">
            <val>1</val>
          </value>
        </values>
      </ddeItem>
      <ddeItem name="@CTA[8-2-1-1-2-1221,F,5,#6]" advise="1">
        <values>
          <value t="nil">
            <val>1</val>
          </value>
        </values>
      </ddeItem>
      <ddeItem name="@CTA[8-2-1-1-2-1221,F,6,#6]" advise="1">
        <values>
          <value t="nil">
            <val>1</val>
          </value>
        </values>
      </ddeItem>
      <ddeItem name="@CTA[8-2-1-1-2-1221,F,7,#6]" advise="1">
        <values>
          <value t="nil">
            <val>1</val>
          </value>
        </values>
      </ddeItem>
      <ddeItem name="@CTA[8-2-1-1-2-1221,F,8,#6]" advise="1">
        <values>
          <value t="nil">
            <val>1</val>
          </value>
        </values>
      </ddeItem>
      <ddeItem name="@CTA[8-2-1-1-2-1221,F,9,#6]" advise="1">
        <values>
          <value>
            <val>12857</val>
          </value>
        </values>
      </ddeItem>
      <ddeItem name="@CTA[8-2-1-1-3,F,#5]" advise="1">
        <values>
          <value>
            <val>2004291</val>
          </value>
        </values>
      </ddeItem>
      <ddeItem name="@CTA[8-2-1-1-3-1311,F,1,#6]" advise="1">
        <values>
          <value>
            <val>0</val>
          </value>
        </values>
      </ddeItem>
      <ddeItem name="@CTA[8-2-1-1-3-1311,F,2,#6]" advise="1">
        <values>
          <value>
            <val>0</val>
          </value>
        </values>
      </ddeItem>
      <ddeItem name="@CTA[8-2-1-1-3-1311,F,3,#6]" advise="1">
        <values>
          <value>
            <val>0</val>
          </value>
        </values>
      </ddeItem>
      <ddeItem name="@CTA[8-2-1-1-3-1311,F,4,#6]" advise="1">
        <values>
          <value t="nil">
            <val>1</val>
          </value>
        </values>
      </ddeItem>
      <ddeItem name="@CTA[8-2-1-1-3-1311,F,5,#6]" advise="1">
        <values>
          <value>
            <val>0</val>
          </value>
        </values>
      </ddeItem>
      <ddeItem name="@CTA[8-2-1-1-3-1311,F,6,#6]" advise="1">
        <values>
          <value t="nil">
            <val>1</val>
          </value>
        </values>
      </ddeItem>
      <ddeItem name="@CTA[8-2-1-1-3-1311,F,7,#6]" advise="1">
        <values>
          <value t="nil">
            <val>1</val>
          </value>
        </values>
      </ddeItem>
      <ddeItem name="@CTA[8-2-1-1-3-1311,F,8,#6]" advise="1">
        <values>
          <value t="nil">
            <val>1</val>
          </value>
        </values>
      </ddeItem>
      <ddeItem name="@CTA[8-2-1-1-3-1311,F,9,#6]" advise="1">
        <values>
          <value t="nil">
            <val>1</val>
          </value>
        </values>
      </ddeItem>
      <ddeItem name="@CTA[8-2-1-1-3-1321,F,1,#6]" advise="1">
        <values>
          <value>
            <val>58666</val>
          </value>
        </values>
      </ddeItem>
      <ddeItem name="@CTA[8-2-1-1-3-1321,F,2,#6]" advise="1">
        <values>
          <value>
            <val>0</val>
          </value>
        </values>
      </ddeItem>
      <ddeItem name="@CTA[8-2-1-1-3-1321,F,3,#6]" advise="1">
        <values>
          <value>
            <val>18448</val>
          </value>
        </values>
      </ddeItem>
      <ddeItem name="@CTA[8-2-1-1-3-1321,F,4,#6]" advise="1">
        <values>
          <value>
            <val>0</val>
          </value>
        </values>
      </ddeItem>
      <ddeItem name="@CTA[8-2-1-1-3-1321,F,5,#6]" advise="1">
        <values>
          <value>
            <val>0</val>
          </value>
        </values>
      </ddeItem>
      <ddeItem name="@CTA[8-2-1-1-3-1321,F,6,#6]" advise="1">
        <values>
          <value>
            <val>0</val>
          </value>
        </values>
      </ddeItem>
      <ddeItem name="@CTA[8-2-1-1-3-1321,F,7,#6]" advise="1">
        <values>
          <value>
            <val>22659</val>
          </value>
        </values>
      </ddeItem>
      <ddeItem name="@CTA[8-2-1-1-3-1321,F,8,#6]" advise="1">
        <values>
          <value>
            <val>2116</val>
          </value>
        </values>
      </ddeItem>
      <ddeItem name="@CTA[8-2-1-1-3-1321,F,9,#6]" advise="1">
        <values>
          <value>
            <val>22730</val>
          </value>
        </values>
      </ddeItem>
      <ddeItem name="@CTA[8-2-1-1-3-1322,F,1,#6]" advise="1">
        <values>
          <value>
            <val>123397</val>
          </value>
        </values>
      </ddeItem>
      <ddeItem name="@CTA[8-2-1-1-3-1322,F,2,#6]" advise="1">
        <values>
          <value>
            <val>17504</val>
          </value>
        </values>
      </ddeItem>
      <ddeItem name="@CTA[8-2-1-1-3-1322,F,3,#6]" advise="1">
        <values>
          <value>
            <val>36593</val>
          </value>
        </values>
      </ddeItem>
      <ddeItem name="@CTA[8-2-1-1-3-1322,F,4,#6]" advise="1">
        <values>
          <value>
            <val>24822</val>
          </value>
        </values>
      </ddeItem>
      <ddeItem name="@CTA[8-2-1-1-3-1322,F,5,#6]" advise="1">
        <values>
          <value>
            <val>36061</val>
          </value>
        </values>
      </ddeItem>
      <ddeItem name="@CTA[8-2-1-1-3-1322,F,6,#6]" advise="1">
        <values>
          <value>
            <val>9682</val>
          </value>
        </values>
      </ddeItem>
      <ddeItem name="@CTA[8-2-1-1-3-1322,F,7,#6]" advise="1">
        <values>
          <value>
            <val>29448</val>
          </value>
        </values>
      </ddeItem>
      <ddeItem name="@CTA[8-2-1-1-3-1322,F,8,#6]" advise="1">
        <values>
          <value>
            <val>10320</val>
          </value>
        </values>
      </ddeItem>
      <ddeItem name="@CTA[8-2-1-1-3-1322,F,9,#6]" advise="1">
        <values>
          <value>
            <val>21662</val>
          </value>
        </values>
      </ddeItem>
      <ddeItem name="@CTA[8-2-1-1-3-1323,F,1,#6]" advise="1">
        <values>
          <value>
            <val>431393</val>
          </value>
        </values>
      </ddeItem>
      <ddeItem name="@CTA[8-2-1-1-3-1323,F,2,#6]" advise="1">
        <values>
          <value>
            <val>66833</val>
          </value>
        </values>
      </ddeItem>
      <ddeItem name="@CTA[8-2-1-1-3-1323,F,3,#6]" advise="1">
        <values>
          <value>
            <val>127073</val>
          </value>
        </values>
      </ddeItem>
      <ddeItem name="@CTA[8-2-1-1-3-1323,F,4,#6]" advise="1">
        <values>
          <value>
            <val>88032</val>
          </value>
        </values>
      </ddeItem>
      <ddeItem name="@CTA[8-2-1-1-3-1323,F,5,#6]" advise="1">
        <values>
          <value>
            <val>126974</val>
          </value>
        </values>
      </ddeItem>
      <ddeItem name="@CTA[8-2-1-1-3-1323,F,6,#6]" advise="1">
        <values>
          <value>
            <val>34800</val>
          </value>
        </values>
      </ddeItem>
      <ddeItem name="@CTA[8-2-1-1-3-1323,F,7,#6]" advise="1">
        <values>
          <value>
            <val>116659</val>
          </value>
        </values>
      </ddeItem>
      <ddeItem name="@CTA[8-2-1-1-3-1323,F,8,#6]" advise="1">
        <values>
          <value>
            <val>41525</val>
          </value>
        </values>
      </ddeItem>
      <ddeItem name="@CTA[8-2-1-1-3-1323,F,9,#6]" advise="1">
        <values>
          <value>
            <val>90600</val>
          </value>
        </values>
      </ddeItem>
      <ddeItem name="@CTA[8-2-1-1-3-1331,F,1,#6]" advise="1">
        <values>
          <value>
            <val>117497</val>
          </value>
        </values>
      </ddeItem>
      <ddeItem name="@CTA[8-2-1-1-3-1331,F,2,#6]" advise="1">
        <values>
          <value t="nil">
            <val>1</val>
          </value>
        </values>
      </ddeItem>
      <ddeItem name="@CTA[8-2-1-1-3-1331,F,3,#6]" advise="1">
        <values>
          <value>
            <val>12850</val>
          </value>
        </values>
      </ddeItem>
      <ddeItem name="@CTA[8-2-1-1-3-1331,F,4,#6]" advise="1">
        <values>
          <value t="nil">
            <val>1</val>
          </value>
        </values>
      </ddeItem>
      <ddeItem name="@CTA[8-2-1-1-3-1331,F,5,#6]" advise="1">
        <values>
          <value>
            <val>0</val>
          </value>
        </values>
      </ddeItem>
      <ddeItem name="@CTA[8-2-1-1-3-1331,F,6,#6]" advise="1">
        <values>
          <value t="nil">
            <val>1</val>
          </value>
        </values>
      </ddeItem>
      <ddeItem name="@CTA[8-2-1-1-3-1331,F,7,#6]" advise="1">
        <values>
          <value t="nil">
            <val>1</val>
          </value>
        </values>
      </ddeItem>
      <ddeItem name="@CTA[8-2-1-1-3-1331,F,8,#6]" advise="1">
        <values>
          <value t="nil">
            <val>1</val>
          </value>
        </values>
      </ddeItem>
      <ddeItem name="@CTA[8-2-1-1-3-1331,F,9,#6]" advise="1">
        <values>
          <value t="nil">
            <val>1</val>
          </value>
        </values>
      </ddeItem>
      <ddeItem name="@CTA[8-2-1-1-3-1341,F,1,#6]" advise="1">
        <values>
          <value>
            <val>187465</val>
          </value>
        </values>
      </ddeItem>
      <ddeItem name="@CTA[8-2-1-1-3-1341,F,2,#6]" advise="1">
        <values>
          <value>
            <val>15913</val>
          </value>
        </values>
      </ddeItem>
      <ddeItem name="@CTA[8-2-1-1-3-1341,F,3,#6]" advise="1">
        <values>
          <value>
            <val>30122</val>
          </value>
        </values>
      </ddeItem>
      <ddeItem name="@CTA[8-2-1-1-3-1341,F,4,#6]" advise="1">
        <values>
          <value>
            <val>16239</val>
          </value>
        </values>
      </ddeItem>
      <ddeItem name="@CTA[8-2-1-1-3-1341,F,5,#6]" advise="1">
        <values>
          <value>
            <val>30232</val>
          </value>
        </values>
      </ddeItem>
      <ddeItem name="@CTA[8-2-1-1-3-1341,F,6,#6]" advise="1">
        <values>
          <value>
            <val>5166</val>
          </value>
        </values>
      </ddeItem>
      <ddeItem name="@CTA[8-2-1-1-3-1341,F,7,#6]" advise="1">
        <values>
          <value>
            <val>25644</val>
          </value>
        </values>
      </ddeItem>
      <ddeItem name="@CTA[8-2-1-1-3-1341,F,8,#6]" advise="1">
        <values>
          <value>
            <val>5166</val>
          </value>
        </values>
      </ddeItem>
      <ddeItem name="@CTA[8-2-1-1-3-1341,F,9,#6]" advise="1">
        <values>
          <value>
            <val>0</val>
          </value>
        </values>
      </ddeItem>
      <ddeItem name="@CTA[8-2-1-1-4,F,#5]" advise="1">
        <values>
          <value>
            <val>2469709</val>
          </value>
        </values>
      </ddeItem>
      <ddeItem name="@CTA[8-2-1-1-4-1411,F,1,#6]" advise="1">
        <values>
          <value>
            <val>547544</val>
          </value>
        </values>
      </ddeItem>
      <ddeItem name="@CTA[8-2-1-1-4-1411,F,2,#6]" advise="1">
        <values>
          <value>
            <val>24155</val>
          </value>
        </values>
      </ddeItem>
      <ddeItem name="@CTA[8-2-1-1-4-1411,F,3,#6]" advise="1">
        <values>
          <value>
            <val>170112</val>
          </value>
        </values>
      </ddeItem>
      <ddeItem name="@CTA[8-2-1-1-4-1411,F,4,#6]" advise="1">
        <values>
          <value>
            <val>86902</val>
          </value>
        </values>
      </ddeItem>
      <ddeItem name="@CTA[8-2-1-1-4-1411,F,5,#6]" advise="1">
        <values>
          <value>
            <val>143791</val>
          </value>
        </values>
      </ddeItem>
      <ddeItem name="@CTA[8-2-1-1-4-1411,F,6,#6]" advise="1">
        <values>
          <value>
            <val>31377</val>
          </value>
        </values>
      </ddeItem>
      <ddeItem name="@CTA[8-2-1-1-4-1411,F,7,#6]" advise="1">
        <values>
          <value>
            <val>172354</val>
          </value>
        </values>
      </ddeItem>
      <ddeItem name="@CTA[8-2-1-1-4-1411,F,8,#6]" advise="1">
        <values>
          <value>
            <val>27844</val>
          </value>
        </values>
      </ddeItem>
      <ddeItem name="@CTA[8-2-1-1-4-1411,F,9,#6]" advise="1">
        <values>
          <value>
            <val>46079</val>
          </value>
        </values>
      </ddeItem>
      <ddeItem name="@CTA[8-2-1-1-4-1421,F,1,#6]" advise="1">
        <values>
          <value>
            <val>241024</val>
          </value>
        </values>
      </ddeItem>
      <ddeItem name="@CTA[8-2-1-1-4-1421,F,2,#6]" advise="1">
        <values>
          <value>
            <val>12098</val>
          </value>
        </values>
      </ddeItem>
      <ddeItem name="@CTA[8-2-1-1-4-1421,F,3,#6]" advise="1">
        <values>
          <value>
            <val>75041</val>
          </value>
        </values>
      </ddeItem>
      <ddeItem name="@CTA[8-2-1-1-4-1421,F,4,#6]" advise="1">
        <values>
          <value>
            <val>43360</val>
          </value>
        </values>
      </ddeItem>
      <ddeItem name="@CTA[8-2-1-1-4-1421,F,5,#6]" advise="1">
        <values>
          <value>
            <val>70166</val>
          </value>
        </values>
      </ddeItem>
      <ddeItem name="@CTA[8-2-1-1-4-1421,F,6,#6]" advise="1">
        <values>
          <value>
            <val>17825</val>
          </value>
        </values>
      </ddeItem>
      <ddeItem name="@CTA[8-2-1-1-4-1421,F,7,#6]" advise="1">
        <values>
          <value>
            <val>87159</val>
          </value>
        </values>
      </ddeItem>
      <ddeItem name="@CTA[8-2-1-1-4-1421,F,8,#6]" advise="1">
        <values>
          <value>
            <val>10519</val>
          </value>
        </values>
      </ddeItem>
      <ddeItem name="@CTA[8-2-1-1-4-1421,F,9,#6]" advise="1">
        <values>
          <value>
            <val>17218</val>
          </value>
        </values>
      </ddeItem>
      <ddeItem name="@CTA[8-2-1-1-4-1431,F,1,#6]" advise="1">
        <values>
          <value>
            <val>248255</val>
          </value>
        </values>
      </ddeItem>
      <ddeItem name="@CTA[8-2-1-1-4-1431,F,2,#6]" advise="1">
        <values>
          <value>
            <val>12460</val>
          </value>
        </values>
      </ddeItem>
      <ddeItem name="@CTA[8-2-1-1-4-1431,F,3,#6]" advise="1">
        <values>
          <value>
            <val>77292</val>
          </value>
        </values>
      </ddeItem>
      <ddeItem name="@CTA[8-2-1-1-4-1431,F,4,#6]" advise="1">
        <values>
          <value>
            <val>44661</val>
          </value>
        </values>
      </ddeItem>
      <ddeItem name="@CTA[8-2-1-1-4-1431,F,5,#6]" advise="1">
        <values>
          <value>
            <val>72271</val>
          </value>
        </values>
      </ddeItem>
      <ddeItem name="@CTA[8-2-1-1-4-1431,F,6,#6]" advise="1">
        <values>
          <value>
            <val>18360</val>
          </value>
        </values>
      </ddeItem>
      <ddeItem name="@CTA[8-2-1-1-4-1431,F,7,#6]" advise="1">
        <values>
          <value>
            <val>89773</val>
          </value>
        </values>
      </ddeItem>
      <ddeItem name="@CTA[8-2-1-1-4-1431,F,8,#6]" advise="1">
        <values>
          <value>
            <val>10834</val>
          </value>
        </values>
      </ddeItem>
      <ddeItem name="@CTA[8-2-1-1-4-1431,F,9,#6]" advise="1">
        <values>
          <value>
            <val>17735</val>
          </value>
        </values>
      </ddeItem>
      <ddeItem name="@CTA[8-2-1-1-4-1441,F,1,#6]" advise="1">
        <values>
          <value>
            <val>22526</val>
          </value>
        </values>
      </ddeItem>
      <ddeItem name="@CTA[8-2-1-1-4-1441,F,2,#6]" advise="1">
        <values>
          <value>
            <val>3285</val>
          </value>
        </values>
      </ddeItem>
      <ddeItem name="@CTA[8-2-1-1-4-1441,F,3,#6]" advise="1">
        <values>
          <value>
            <val>7039</val>
          </value>
        </values>
      </ddeItem>
      <ddeItem name="@CTA[8-2-1-1-4-1441,F,4,#6]" advise="1">
        <values>
          <value>
            <val>3285</val>
          </value>
        </values>
      </ddeItem>
      <ddeItem name="@CTA[8-2-1-1-4-1441,F,5,#6]" advise="1">
        <values>
          <value>
            <val>6101</val>
          </value>
        </values>
      </ddeItem>
      <ddeItem name="@CTA[8-2-1-1-4-1441,F,6,#6]" advise="1">
        <values>
          <value>
            <val>939</val>
          </value>
        </values>
      </ddeItem>
      <ddeItem name="@CTA[8-2-1-1-4-1441,F,7,#6]" advise="1">
        <values>
          <value>
            <val>6101</val>
          </value>
        </values>
      </ddeItem>
      <ddeItem name="@CTA[8-2-1-1-4-1441,F,8,#6]" advise="1">
        <values>
          <value>
            <val>1408</val>
          </value>
        </values>
      </ddeItem>
      <ddeItem name="@CTA[8-2-1-1-4-1441,F,9,#6]" advise="1">
        <values>
          <value>
            <val>2816</val>
          </value>
        </values>
      </ddeItem>
      <ddeItem name="@CTA[8-2-1-1-5,F,#5]" advise="1">
        <values>
          <value>
            <val>2642852</val>
          </value>
        </values>
      </ddeItem>
      <ddeItem name="@CTA[8-2-1-1-5-1521,F,1,#6]" advise="1">
        <values>
          <value t="nil">
            <val>1</val>
          </value>
        </values>
      </ddeItem>
      <ddeItem name="@CTA[8-2-1-1-5-1521,F,2,#6]" advise="1">
        <values>
          <value t="nil">
            <val>1</val>
          </value>
        </values>
      </ddeItem>
      <ddeItem name="@CTA[8-2-1-1-5-1521,F,3,#6]" advise="1">
        <values>
          <value t="nil">
            <val>1</val>
          </value>
        </values>
      </ddeItem>
      <ddeItem name="@CTA[8-2-1-1-5-1521,F,4,#6]" advise="1">
        <values>
          <value t="nil">
            <val>1</val>
          </value>
        </values>
      </ddeItem>
      <ddeItem name="@CTA[8-2-1-1-5-1521,F,5,#6]" advise="1">
        <values>
          <value t="nil">
            <val>1</val>
          </value>
        </values>
      </ddeItem>
      <ddeItem name="@CTA[8-2-1-1-5-1521,F,6,#6]" advise="1">
        <values>
          <value t="nil">
            <val>1</val>
          </value>
        </values>
      </ddeItem>
      <ddeItem name="@CTA[8-2-1-1-5-1521,F,7,#6]" advise="1">
        <values>
          <value t="nil">
            <val>1</val>
          </value>
        </values>
      </ddeItem>
      <ddeItem name="@CTA[8-2-1-1-5-1521,F,8,#6]" advise="1">
        <values>
          <value t="nil">
            <val>1</val>
          </value>
        </values>
      </ddeItem>
      <ddeItem name="@CTA[8-2-1-1-5-1521,F,9,#6]" advise="1">
        <values>
          <value t="nil">
            <val>1</val>
          </value>
        </values>
      </ddeItem>
      <ddeItem name="@CTA[8-2-1-1-5-1522,F,1,#6]" advise="1">
        <values>
          <value t="nil">
            <val>1</val>
          </value>
        </values>
      </ddeItem>
      <ddeItem name="@CTA[8-2-1-1-5-1522,F,2,#6]" advise="1">
        <values>
          <value t="nil">
            <val>1</val>
          </value>
        </values>
      </ddeItem>
      <ddeItem name="@CTA[8-2-1-1-5-1522,F,3,#6]" advise="1">
        <values>
          <value>
            <val>0</val>
          </value>
        </values>
      </ddeItem>
      <ddeItem name="@CTA[8-2-1-1-5-1522,F,4,#6]" advise="1">
        <values>
          <value t="nil">
            <val>1</val>
          </value>
        </values>
      </ddeItem>
      <ddeItem name="@CTA[8-2-1-1-5-1522,F,5,#6]" advise="1">
        <values>
          <value t="nil">
            <val>1</val>
          </value>
        </values>
      </ddeItem>
      <ddeItem name="@CTA[8-2-1-1-5-1522,F,6,#6]" advise="1">
        <values>
          <value t="nil">
            <val>1</val>
          </value>
        </values>
      </ddeItem>
      <ddeItem name="@CTA[8-2-1-1-5-1522,F,7,#6]" advise="1">
        <values>
          <value t="nil">
            <val>1</val>
          </value>
        </values>
      </ddeItem>
      <ddeItem name="@CTA[8-2-1-1-5-1522,F,8,#6]" advise="1">
        <values>
          <value t="nil">
            <val>1</val>
          </value>
        </values>
      </ddeItem>
      <ddeItem name="@CTA[8-2-1-1-5-1522,F,9,#6]" advise="1">
        <values>
          <value t="nil">
            <val>1</val>
          </value>
        </values>
      </ddeItem>
      <ddeItem name="@CTA[8-2-1-1-5-1541,F,1,#6]" advise="1">
        <values>
          <value>
            <val>718533</val>
          </value>
        </values>
      </ddeItem>
      <ddeItem name="@CTA[8-2-1-1-5-1541,F,2,#6]" advise="1">
        <values>
          <value>
            <val>116098</val>
          </value>
        </values>
      </ddeItem>
      <ddeItem name="@CTA[8-2-1-1-5-1541,F,3,#6]" advise="1">
        <values>
          <value>
            <val>219769</val>
          </value>
        </values>
      </ddeItem>
      <ddeItem name="@CTA[8-2-1-1-5-1541,F,4,#6]" advise="1">
        <values>
          <value>
            <val>152923</val>
          </value>
        </values>
      </ddeItem>
      <ddeItem name="@CTA[8-2-1-1-5-1541,F,5,#6]" advise="1">
        <values>
          <value>
            <val>220571</val>
          </value>
        </values>
      </ddeItem>
      <ddeItem name="@CTA[8-2-1-1-5-1541,F,6,#6]" advise="1">
        <values>
          <value>
            <val>60452</val>
          </value>
        </values>
      </ddeItem>
      <ddeItem name="@CTA[8-2-1-1-5-1541,F,7,#6]" advise="1">
        <values>
          <value>
            <val>202653</val>
          </value>
        </values>
      </ddeItem>
      <ddeItem name="@CTA[8-2-1-1-5-1541,F,8,#6]" advise="1">
        <values>
          <value>
            <val>72135</val>
          </value>
        </values>
      </ddeItem>
      <ddeItem name="@CTA[8-2-1-1-5-1541,F,9,#6]" advise="1">
        <values>
          <value>
            <val>154656</val>
          </value>
        </values>
      </ddeItem>
      <ddeItem name="@CTA[8-2-1-1-5-1542,F,1,#6]" advise="1">
        <values>
          <value>
            <val>275753</val>
          </value>
        </values>
      </ddeItem>
      <ddeItem name="@CTA[8-2-1-1-5-1542,F,2,#6]" advise="1">
        <values>
          <value>
            <val>44555</val>
          </value>
        </values>
      </ddeItem>
      <ddeItem name="@CTA[8-2-1-1-5-1542,F,3,#6]" advise="1">
        <values>
          <value>
            <val>84341</val>
          </value>
        </values>
      </ddeItem>
      <ddeItem name="@CTA[8-2-1-1-5-1542,F,4,#6]" advise="1">
        <values>
          <value>
            <val>45470</val>
          </value>
        </values>
      </ddeItem>
      <ddeItem name="@CTA[8-2-1-1-5-1542,F,5,#6]" advise="1">
        <values>
          <value>
            <val>84649</val>
          </value>
        </values>
      </ddeItem>
      <ddeItem name="@CTA[8-2-1-1-5-1542,F,6,#6]" advise="1">
        <values>
          <value>
            <val>14466</val>
          </value>
        </values>
      </ddeItem>
      <ddeItem name="@CTA[8-2-1-1-5-1542,F,7,#6]" advise="1">
        <values>
          <value>
            <val>71802</val>
          </value>
        </values>
      </ddeItem>
      <ddeItem name="@CTA[8-2-1-1-5-1542,F,8,#6]" advise="1">
        <values>
          <value>
            <val>14466</val>
          </value>
        </values>
      </ddeItem>
      <ddeItem name="@CTA[8-2-1-1-5-1542,F,9,#6]" advise="1">
        <values>
          <value>
            <val>0</val>
          </value>
        </values>
      </ddeItem>
      <ddeItem name="@CTA[8-2-1-1-5-1543,F,1,#6]" advise="1">
        <values>
          <value>
            <val>0</val>
          </value>
        </values>
      </ddeItem>
      <ddeItem name="@CTA[8-2-1-1-5-1543,F,2,#6]" advise="1">
        <values>
          <value t="nil">
            <val>1</val>
          </value>
        </values>
      </ddeItem>
      <ddeItem name="@CTA[8-2-1-1-5-1543,F,3,#6]" advise="1">
        <values>
          <value>
            <val>28360</val>
          </value>
        </values>
      </ddeItem>
      <ddeItem name="@CTA[8-2-1-1-5-1543,F,4,#6]" advise="1">
        <values>
          <value t="nil">
            <val>1</val>
          </value>
        </values>
      </ddeItem>
      <ddeItem name="@CTA[8-2-1-1-5-1543,F,5,#6]" advise="1">
        <values>
          <value t="nil">
            <val>1</val>
          </value>
        </values>
      </ddeItem>
      <ddeItem name="@CTA[8-2-1-1-5-1543,F,6,#6]" advise="1">
        <values>
          <value t="nil">
            <val>1</val>
          </value>
        </values>
      </ddeItem>
      <ddeItem name="@CTA[8-2-1-1-5-1543,F,7,#6]" advise="1">
        <values>
          <value t="nil">
            <val>1</val>
          </value>
        </values>
      </ddeItem>
      <ddeItem name="@CTA[8-2-1-1-5-1543,F,8,#6]" advise="1">
        <values>
          <value t="nil">
            <val>1</val>
          </value>
        </values>
      </ddeItem>
      <ddeItem name="@CTA[8-2-1-1-5-1543,F,9,#6]" advise="1">
        <values>
          <value t="nil">
            <val>1</val>
          </value>
        </values>
      </ddeItem>
      <ddeItem name="@CTA[8-2-1-1-5-1544,F,1,#6]" advise="1">
        <values>
          <value>
            <val>54000</val>
          </value>
        </values>
      </ddeItem>
      <ddeItem name="@CTA[8-2-1-1-5-1544,F,2,#6]" advise="1">
        <values>
          <value t="nil">
            <val>1</val>
          </value>
        </values>
      </ddeItem>
      <ddeItem name="@CTA[8-2-1-1-5-1544,F,3,#6]" advise="1">
        <values>
          <value>
            <val>0</val>
          </value>
        </values>
      </ddeItem>
      <ddeItem name="@CTA[8-2-1-1-5-1544,F,4,#6]" advise="1">
        <values>
          <value t="nil">
            <val>1</val>
          </value>
        </values>
      </ddeItem>
      <ddeItem name="@CTA[8-2-1-1-5-1544,F,5,#6]" advise="1">
        <values>
          <value>
            <val>7200</val>
          </value>
        </values>
      </ddeItem>
      <ddeItem name="@CTA[8-2-1-1-5-1544,F,6,#6]" advise="1">
        <values>
          <value t="nil">
            <val>1</val>
          </value>
        </values>
      </ddeItem>
      <ddeItem name="@CTA[8-2-1-1-5-1544,F,7,#6]" advise="1">
        <values>
          <value t="nil">
            <val>1</val>
          </value>
        </values>
      </ddeItem>
      <ddeItem name="@CTA[8-2-1-1-5-1544,F,8,#6]" advise="1">
        <values>
          <value t="nil">
            <val>1</val>
          </value>
        </values>
      </ddeItem>
      <ddeItem name="@CTA[8-2-1-1-5-1544,F,9,#6]" advise="1">
        <values>
          <value t="nil">
            <val>1</val>
          </value>
        </values>
      </ddeItem>
      <ddeItem name="@CTA[8-2-1-1-6,F,#5]" advise="1">
        <values>
          <value t="nil">
            <val>1</val>
          </value>
        </values>
      </ddeItem>
      <ddeItem name="@CTA[8-2-1-1-7,F,#5]" advise="1">
        <values>
          <value t="nil">
            <val>1</val>
          </value>
        </values>
      </ddeItem>
      <ddeItem name="@CTA[8-2-1-2,F,#4]" advise="1">
        <values>
          <value>
            <val>5576045</val>
          </value>
        </values>
      </ddeItem>
      <ddeItem name="@CTA[8-2-1-2-1,F,#5]" advise="1">
        <values>
          <value>
            <val>379285</val>
          </value>
        </values>
      </ddeItem>
      <ddeItem name="@CTA[8-2-1-2-1-2111,F,1,#6]" advise="1">
        <values>
          <value>
            <val>5640</val>
          </value>
        </values>
      </ddeItem>
      <ddeItem name="@CTA[8-2-1-2-1-2111,F,2,#6]" advise="1">
        <values>
          <value>
            <val>11927</val>
          </value>
        </values>
      </ddeItem>
      <ddeItem name="@CTA[8-2-1-2-1-2111,F,3,#6]" advise="1">
        <values>
          <value>
            <val>7177</val>
          </value>
        </values>
      </ddeItem>
      <ddeItem name="@CTA[8-2-1-2-1-2111,F,4,#6]" advise="1">
        <values>
          <value>
            <val>26426</val>
          </value>
        </values>
      </ddeItem>
      <ddeItem name="@CTA[8-2-1-2-1-2111,F,5,#6]" advise="1">
        <values>
          <value>
            <val>12442</val>
          </value>
        </values>
      </ddeItem>
      <ddeItem name="@CTA[8-2-1-2-1-2111,F,6,#6]" advise="1">
        <values>
          <value>
            <val>9396</val>
          </value>
        </values>
      </ddeItem>
      <ddeItem name="@CTA[8-2-1-2-1-2111,F,7,#6]" advise="1">
        <values>
          <value>
            <val>1744</val>
          </value>
        </values>
      </ddeItem>
      <ddeItem name="@CTA[8-2-1-2-1-2111,F,8,#6]" advise="1">
        <values>
          <value>
            <val>2468</val>
          </value>
        </values>
      </ddeItem>
      <ddeItem name="@CTA[8-2-1-2-1-2111,F,9,#6]" advise="1">
        <values>
          <value>
            <val>16339</val>
          </value>
        </values>
      </ddeItem>
      <ddeItem name="@CTA[8-2-1-2-1-2121,F,1,#6]" advise="1">
        <values>
          <value>
            <val>1589</val>
          </value>
        </values>
      </ddeItem>
      <ddeItem name="@CTA[8-2-1-2-1-2121,F,2,#6]" advise="1">
        <values>
          <value>
            <val>1312</val>
          </value>
        </values>
      </ddeItem>
      <ddeItem name="@CTA[8-2-1-2-1-2121,F,3,#6]" advise="1">
        <values>
          <value>
            <val>1242</val>
          </value>
        </values>
      </ddeItem>
      <ddeItem name="@CTA[8-2-1-2-1-2121,F,4,#6]" advise="1">
        <values>
          <value>
            <val>7999</val>
          </value>
        </values>
      </ddeItem>
      <ddeItem name="@CTA[8-2-1-2-1-2121,F,5,#6]" advise="1">
        <values>
          <value>
            <val>5721</val>
          </value>
        </values>
      </ddeItem>
      <ddeItem name="@CTA[8-2-1-2-1-2121,F,6,#6]" advise="1">
        <values>
          <value>
            <val>70547</val>
          </value>
        </values>
      </ddeItem>
      <ddeItem name="@CTA[8-2-1-2-1-2121,F,7,#6]" advise="1">
        <values>
          <value>
            <val>396</val>
          </value>
        </values>
      </ddeItem>
      <ddeItem name="@CTA[8-2-1-2-1-2121,F,8,#6]" advise="1">
        <values>
          <value>
            <val>591</val>
          </value>
        </values>
      </ddeItem>
      <ddeItem name="@CTA[8-2-1-2-1-2121,F,9,#6]" advise="1">
        <values>
          <value>
            <val>3724</val>
          </value>
        </values>
      </ddeItem>
      <ddeItem name="@CTA[8-2-1-2-1-2131,F,1,#6]" advise="1">
        <values>
          <value t="nil">
            <val>1</val>
          </value>
        </values>
      </ddeItem>
      <ddeItem name="@CTA[8-2-1-2-1-2131,F,2,#6]" advise="1">
        <values>
          <value t="nil">
            <val>1</val>
          </value>
        </values>
      </ddeItem>
      <ddeItem name="@CTA[8-2-1-2-1-2131,F,3,#6]" advise="1">
        <values>
          <value t="nil">
            <val>1</val>
          </value>
        </values>
      </ddeItem>
      <ddeItem name="@CTA[8-2-1-2-1-2131,F,4,#6]" advise="1">
        <values>
          <value t="nil">
            <val>1</val>
          </value>
        </values>
      </ddeItem>
      <ddeItem name="@CTA[8-2-1-2-1-2131,F,5,#6]" advise="1">
        <values>
          <value t="nil">
            <val>1</val>
          </value>
        </values>
      </ddeItem>
      <ddeItem name="@CTA[8-2-1-2-1-2131,F,6,#6]" advise="1">
        <values>
          <value t="nil">
            <val>1</val>
          </value>
        </values>
      </ddeItem>
      <ddeItem name="@CTA[8-2-1-2-1-2131,F,7,#6]" advise="1">
        <values>
          <value t="nil">
            <val>1</val>
          </value>
        </values>
      </ddeItem>
      <ddeItem name="@CTA[8-2-1-2-1-2131,F,8,#6]" advise="1">
        <values>
          <value t="nil">
            <val>1</val>
          </value>
        </values>
      </ddeItem>
      <ddeItem name="@CTA[8-2-1-2-1-2131,F,9,#6]" advise="1">
        <values>
          <value t="nil">
            <val>1</val>
          </value>
        </values>
      </ddeItem>
      <ddeItem name="@CTA[8-2-1-2-1-2141,F,1,#6]" advise="1">
        <values>
          <value>
            <val>350</val>
          </value>
        </values>
      </ddeItem>
      <ddeItem name="@CTA[8-2-1-2-1-2141,F,2,#6]" advise="1">
        <values>
          <value>
            <val>0</val>
          </value>
        </values>
      </ddeItem>
      <ddeItem name="@CTA[8-2-1-2-1-2141,F,3,#6]" advise="1">
        <values>
          <value>
            <val>0</val>
          </value>
        </values>
      </ddeItem>
      <ddeItem name="@CTA[8-2-1-2-1-2141,F,4,#6]" advise="1">
        <values>
          <value>
            <val>4148</val>
          </value>
        </values>
      </ddeItem>
      <ddeItem name="@CTA[8-2-1-2-1-2141,F,5,#6]" advise="1">
        <values>
          <value>
            <val>181</val>
          </value>
        </values>
      </ddeItem>
      <ddeItem name="@CTA[8-2-1-2-1-2141,F,6,#6]" advise="1">
        <values>
          <value>
            <val>91649</val>
          </value>
        </values>
      </ddeItem>
      <ddeItem name="@CTA[8-2-1-2-1-2141,F,7,#6]" advise="1">
        <values>
          <value>
            <val>390</val>
          </value>
        </values>
      </ddeItem>
      <ddeItem name="@CTA[8-2-1-2-1-2141,F,8,#6]" advise="1">
        <values>
          <value>
            <val>326</val>
          </value>
        </values>
      </ddeItem>
      <ddeItem name="@CTA[8-2-1-2-1-2141,F,9,#6]" advise="1">
        <values>
          <value>
            <val>528</val>
          </value>
        </values>
      </ddeItem>
      <ddeItem name="@CTA[8-2-1-2-1-2151,F,1,#6]" advise="1">
        <values>
          <value>
            <val>17500</val>
          </value>
        </values>
      </ddeItem>
      <ddeItem name="@CTA[8-2-1-2-1-2151,F,2,#6]" advise="1">
        <values>
          <value>
            <val>0</val>
          </value>
        </values>
      </ddeItem>
      <ddeItem name="@CTA[8-2-1-2-1-2151,F,3,#6]" advise="1">
        <values>
          <value t="nil">
            <val>1</val>
          </value>
        </values>
      </ddeItem>
      <ddeItem name="@CTA[8-2-1-2-1-2151,F,4,#6]" advise="1">
        <values>
          <value t="nil">
            <val>1</val>
          </value>
        </values>
      </ddeItem>
      <ddeItem name="@CTA[8-2-1-2-1-2151,F,5,#6]" advise="1">
        <values>
          <value t="nil">
            <val>1</val>
          </value>
        </values>
      </ddeItem>
      <ddeItem name="@CTA[8-2-1-2-1-2151,F,6,#6]" advise="1">
        <values>
          <value t="nil">
            <val>1</val>
          </value>
        </values>
      </ddeItem>
      <ddeItem name="@CTA[8-2-1-2-1-2151,F,7,#6]" advise="1">
        <values>
          <value t="nil">
            <val>1</val>
          </value>
        </values>
      </ddeItem>
      <ddeItem name="@CTA[8-2-1-2-1-2151,F,8,#6]" advise="1">
        <values>
          <value>
            <val>160</val>
          </value>
        </values>
      </ddeItem>
      <ddeItem name="@CTA[8-2-1-2-1-2151,F,9,#6]" advise="1">
        <values>
          <value>
            <val>0</val>
          </value>
        </values>
      </ddeItem>
      <ddeItem name="@CTA[8-2-1-2-1-2161,F,1,#6]" advise="1">
        <values>
          <value>
            <val>2893</val>
          </value>
        </values>
      </ddeItem>
      <ddeItem name="@CTA[8-2-1-2-1-2161,F,2,#6]" advise="1">
        <values>
          <value t="nil">
            <val>1</val>
          </value>
        </values>
      </ddeItem>
      <ddeItem name="@CTA[8-2-1-2-1-2161,F,3,#6]" advise="1">
        <values>
          <value>
            <val>17709</val>
          </value>
        </values>
      </ddeItem>
      <ddeItem name="@CTA[8-2-1-2-1-2161,F,4,#6]" advise="1">
        <values>
          <value>
            <val>798</val>
          </value>
        </values>
      </ddeItem>
      <ddeItem name="@CTA[8-2-1-2-1-2161,F,5,#6]" advise="1">
        <values>
          <value t="nil">
            <val>1</val>
          </value>
        </values>
      </ddeItem>
      <ddeItem name="@CTA[8-2-1-2-1-2161,F,6,#6]" advise="1">
        <values>
          <value>
            <val>0</val>
          </value>
        </values>
      </ddeItem>
      <ddeItem name="@CTA[8-2-1-2-1-2161,F,7,#6]" advise="1">
        <values>
          <value>
            <val>9144</val>
          </value>
        </values>
      </ddeItem>
      <ddeItem name="@CTA[8-2-1-2-1-2161,F,8,#6]" advise="1">
        <values>
          <value>
            <val>909</val>
          </value>
        </values>
      </ddeItem>
      <ddeItem name="@CTA[8-2-1-2-1-2161,F,9,#6]" advise="1">
        <values>
          <value t="nil">
            <val>1</val>
          </value>
        </values>
      </ddeItem>
      <ddeItem name="@CTA[8-2-1-2-1-2171,F,1,#6]" advise="1">
        <values>
          <value t="nil">
            <val>1</val>
          </value>
        </values>
      </ddeItem>
      <ddeItem name="@CTA[8-2-1-2-1-2171,F,2,#6]" advise="1">
        <values>
          <value t="nil">
            <val>1</val>
          </value>
        </values>
      </ddeItem>
      <ddeItem name="@CTA[8-2-1-2-1-2171,F,3,#6]" advise="1">
        <values>
          <value>
            <val>0</val>
          </value>
        </values>
      </ddeItem>
      <ddeItem name="@CTA[8-2-1-2-1-2171,F,4,#6]" advise="1">
        <values>
          <value>
            <val>4520</val>
          </value>
        </values>
      </ddeItem>
      <ddeItem name="@CTA[8-2-1-2-1-2171,F,5,#6]" advise="1">
        <values>
          <value t="nil">
            <val>1</val>
          </value>
        </values>
      </ddeItem>
      <ddeItem name="@CTA[8-2-1-2-1-2171,F,6,#6]" advise="1">
        <values>
          <value t="nil">
            <val>1</val>
          </value>
        </values>
      </ddeItem>
      <ddeItem name="@CTA[8-2-1-2-1-2171,F,7,#6]" advise="1">
        <values>
          <value t="nil">
            <val>1</val>
          </value>
        </values>
      </ddeItem>
      <ddeItem name="@CTA[8-2-1-2-1-2171,F,8,#6]" advise="1">
        <values>
          <value>
            <val>41400</val>
          </value>
        </values>
      </ddeItem>
      <ddeItem name="@CTA[8-2-1-2-1-2171,F,9,#6]" advise="1">
        <values>
          <value>
            <val>0</val>
          </value>
        </values>
      </ddeItem>
      <ddeItem name="@CTA[8-2-1-2-2,F,#5]" advise="1">
        <values>
          <value>
            <val>60744</val>
          </value>
        </values>
      </ddeItem>
      <ddeItem name="@CTA[8-2-1-2-2-2211,F,1,#6]" advise="1">
        <values>
          <value>
            <val>22800</val>
          </value>
        </values>
      </ddeItem>
      <ddeItem name="@CTA[8-2-1-2-2-2211,F,2,#6]" advise="1">
        <values>
          <value>
            <val>0</val>
          </value>
        </values>
      </ddeItem>
      <ddeItem name="@CTA[8-2-1-2-2-2211,F,3,#6]" advise="1">
        <values>
          <value>
            <val>4000</val>
          </value>
        </values>
      </ddeItem>
      <ddeItem name="@CTA[8-2-1-2-2-2211,F,4,#6]" advise="1">
        <values>
          <value>
            <val>0</val>
          </value>
        </values>
      </ddeItem>
      <ddeItem name="@CTA[8-2-1-2-2-2211,F,5,#6]" advise="1">
        <values>
          <value>
            <val>0</val>
          </value>
        </values>
      </ddeItem>
      <ddeItem name="@CTA[8-2-1-2-2-2211,F,6,#6]" advise="1">
        <values>
          <value>
            <val>0</val>
          </value>
        </values>
      </ddeItem>
      <ddeItem name="@CTA[8-2-1-2-2-2211,F,7,#6]" advise="1">
        <values>
          <value>
            <val>0</val>
          </value>
        </values>
      </ddeItem>
      <ddeItem name="@CTA[8-2-1-2-2-2211,F,8,#6]" advise="1">
        <values>
          <value>
            <val>7800</val>
          </value>
        </values>
      </ddeItem>
      <ddeItem name="@CTA[8-2-1-2-2-2211,F,9,#6]" advise="1">
        <values>
          <value t="nil">
            <val>1</val>
          </value>
        </values>
      </ddeItem>
      <ddeItem name="@CTA[8-2-1-2-2-2221,F,3,#6]" advise="1">
        <values>
          <value>
            <val>4200</val>
          </value>
        </values>
      </ddeItem>
      <ddeItem name="@CTA[8-2-1-2-2-2221,F,7,#6]" advise="1">
        <values>
          <value>
            <val>4200</val>
          </value>
        </values>
      </ddeItem>
      <ddeItem name="@CTA[8-2-1-2-2-2231,F,1,#6]" advise="1">
        <values>
          <value>
            <val>1008</val>
          </value>
        </values>
      </ddeItem>
      <ddeItem name="@CTA[8-2-1-2-2-2231,F,2,#6]" advise="1">
        <values>
          <value>
            <val>8384</val>
          </value>
        </values>
      </ddeItem>
      <ddeItem name="@CTA[8-2-1-2-2-2231,F,3,#6]" advise="1">
        <values>
          <value>
            <val>2052</val>
          </value>
        </values>
      </ddeItem>
      <ddeItem name="@CTA[8-2-1-2-2-2231,F,4,#6]" advise="1">
        <values>
          <value>
            <val>1008</val>
          </value>
        </values>
      </ddeItem>
      <ddeItem name="@CTA[8-2-1-2-2-2231,F,5,#6]" advise="1">
        <values>
          <value>
            <val>1008</val>
          </value>
        </values>
      </ddeItem>
      <ddeItem name="@CTA[8-2-1-2-2-2231,F,6,#6]" advise="1">
        <values>
          <value>
            <val>1008</val>
          </value>
        </values>
      </ddeItem>
      <ddeItem name="@CTA[8-2-1-2-2-2231,F,7,#6]" advise="1">
        <values>
          <value>
            <val>1008</val>
          </value>
        </values>
      </ddeItem>
      <ddeItem name="@CTA[8-2-1-2-2-2231,F,8,#6]" advise="1">
        <values>
          <value>
            <val>1260</val>
          </value>
        </values>
      </ddeItem>
      <ddeItem name="@CTA[8-2-1-2-2-2231,F,9,#6]" advise="1">
        <values>
          <value>
            <val>1008</val>
          </value>
        </values>
      </ddeItem>
      <ddeItem name="@CTA[8-2-1-2-3,F,#5]" advise="1">
        <values>
          <value t="nil">
            <val>1</val>
          </value>
        </values>
      </ddeItem>
      <ddeItem name="@CTA[8-2-1-2-4,F,#5]" advise="1">
        <values>
          <value>
            <val>3266572</val>
          </value>
        </values>
      </ddeItem>
      <ddeItem name="@CTA[8-2-1-2-4-2411,F,1,#6]" advise="1">
        <values>
          <value>
            <val>3880</val>
          </value>
        </values>
      </ddeItem>
      <ddeItem name="@CTA[8-2-1-2-4-2411,F,2,#6]" advise="1">
        <values>
          <value>
            <val>0</val>
          </value>
        </values>
      </ddeItem>
      <ddeItem name="@CTA[8-2-1-2-4-2411,F,3,#6]" advise="1">
        <values>
          <value>
            <val>10000</val>
          </value>
        </values>
      </ddeItem>
      <ddeItem name="@CTA[8-2-1-2-4-2411,F,4,#6]" advise="1">
        <values>
          <value>
            <val>4980</val>
          </value>
        </values>
      </ddeItem>
      <ddeItem name="@CTA[8-2-1-2-4-2411,F,5,#6]" advise="1">
        <values>
          <value>
            <val>0</val>
          </value>
        </values>
      </ddeItem>
      <ddeItem name="@CTA[8-2-1-2-4-2411,F,6,#6]" advise="1">
        <values>
          <value>
            <val>0</val>
          </value>
        </values>
      </ddeItem>
      <ddeItem name="@CTA[8-2-1-2-4-2411,F,7,#6]" advise="1">
        <values>
          <value>
            <val>28000</val>
          </value>
        </values>
      </ddeItem>
      <ddeItem name="@CTA[8-2-1-2-4-2411,F,8,#6]" advise="1">
        <values>
          <value t="nil">
            <val>1</val>
          </value>
        </values>
      </ddeItem>
      <ddeItem name="@CTA[8-2-1-2-4-2411,F,9,#6]" advise="1">
        <values>
          <value>
            <val>0</val>
          </value>
        </values>
      </ddeItem>
      <ddeItem name="@CTA[8-2-1-2-4-2461,F,1,#6]" advise="1">
        <values>
          <value>
            <val>8500</val>
          </value>
        </values>
      </ddeItem>
      <ddeItem name="@CTA[8-2-1-2-4-2461,F,2,#6]" advise="1">
        <values>
          <value>
            <val>310</val>
          </value>
        </values>
      </ddeItem>
      <ddeItem name="@CTA[8-2-1-2-4-2461,F,3,#6]" advise="1">
        <values>
          <value>
            <val>2400</val>
          </value>
        </values>
      </ddeItem>
      <ddeItem name="@CTA[8-2-1-2-4-2461,F,4,#6]" advise="1">
        <values>
          <value>
            <val>690</val>
          </value>
        </values>
      </ddeItem>
      <ddeItem name="@CTA[8-2-1-2-4-2461,F,5,#6]" advise="1">
        <values>
          <value>
            <val>1340</val>
          </value>
        </values>
      </ddeItem>
      <ddeItem name="@CTA[8-2-1-2-4-2461,F,6,#6]" advise="1">
        <values>
          <value>
            <val>2860</val>
          </value>
        </values>
      </ddeItem>
      <ddeItem name="@CTA[8-2-1-2-4-2461,F,7,#6]" advise="1">
        <values>
          <value>
            <val>1920</val>
          </value>
        </values>
      </ddeItem>
      <ddeItem name="@CTA[8-2-1-2-4-2461,F,8,#6]" advise="1">
        <values>
          <value>
            <val>1200</val>
          </value>
        </values>
      </ddeItem>
      <ddeItem name="@CTA[8-2-1-2-4-2461,F,9,#6]" advise="1">
        <values>
          <value>
            <val>920</val>
          </value>
        </values>
      </ddeItem>
      <ddeItem name="@CTA[8-2-1-2-4-2471,F,1,#6]" advise="1">
        <values>
          <value>
            <val>24000</val>
          </value>
        </values>
      </ddeItem>
      <ddeItem name="@CTA[8-2-1-2-4-2471,F,2,#6]" advise="1">
        <values>
          <value t="nil">
            <val>1</val>
          </value>
        </values>
      </ddeItem>
      <ddeItem name="@CTA[8-2-1-2-4-2471,F,3,#6]" advise="1">
        <values>
          <value>
            <val>27201</val>
          </value>
        </values>
      </ddeItem>
      <ddeItem name="@CTA[8-2-1-2-4-2471,F,4,#6]" advise="1">
        <values>
          <value>
            <val>0</val>
          </value>
        </values>
      </ddeItem>
      <ddeItem name="@CTA[8-2-1-2-4-2471,F,5,#6]" advise="1">
        <values>
          <value t="nil">
            <val>1</val>
          </value>
        </values>
      </ddeItem>
      <ddeItem name="@CTA[8-2-1-2-4-2471,F,6,#6]" advise="1">
        <values>
          <value t="nil">
            <val>1</val>
          </value>
        </values>
      </ddeItem>
      <ddeItem name="@CTA[8-2-1-2-4-2471,F,7,#6]" advise="1">
        <values>
          <value>
            <val>65000</val>
          </value>
        </values>
      </ddeItem>
      <ddeItem name="@CTA[8-2-1-2-4-2471,F,8,#6]" advise="1">
        <values>
          <value t="nil">
            <val>1</val>
          </value>
        </values>
      </ddeItem>
      <ddeItem name="@CTA[8-2-1-2-4-2471,F,9,#6]" advise="1">
        <values>
          <value t="nil">
            <val>1</val>
          </value>
        </values>
      </ddeItem>
      <ddeItem name="@CTA[8-2-1-2-4-2481,F,1,#6]" advise="1">
        <values>
          <value t="nil">
            <val>1</val>
          </value>
        </values>
      </ddeItem>
      <ddeItem name="@CTA[8-2-1-2-4-2481,F,2,#6]" advise="1">
        <values>
          <value t="nil">
            <val>1</val>
          </value>
        </values>
      </ddeItem>
      <ddeItem name="@CTA[8-2-1-2-4-2481,F,3,#6]" advise="1">
        <values>
          <value t="nil">
            <val>1</val>
          </value>
        </values>
      </ddeItem>
      <ddeItem name="@CTA[8-2-1-2-4-2481,F,4,#6]" advise="1">
        <values>
          <value t="nil">
            <val>1</val>
          </value>
        </values>
      </ddeItem>
      <ddeItem name="@CTA[8-2-1-2-4-2481,F,5,#6]" advise="1">
        <values>
          <value t="nil">
            <val>1</val>
          </value>
        </values>
      </ddeItem>
      <ddeItem name="@CTA[8-2-1-2-4-2481,F,6,#6]" advise="1">
        <values>
          <value t="nil">
            <val>1</val>
          </value>
        </values>
      </ddeItem>
      <ddeItem name="@CTA[8-2-1-2-4-2481,F,7,#6]" advise="1">
        <values>
          <value t="nil">
            <val>1</val>
          </value>
        </values>
      </ddeItem>
      <ddeItem name="@CTA[8-2-1-2-4-2481,F,8,#6]" advise="1">
        <values>
          <value t="nil">
            <val>1</val>
          </value>
        </values>
      </ddeItem>
      <ddeItem name="@CTA[8-2-1-2-4-2481,F,9,#6]" advise="1">
        <values>
          <value t="nil">
            <val>1</val>
          </value>
        </values>
      </ddeItem>
      <ddeItem name="@CTA[8-2-1-2-4-2491,F,1,#6]" advise="1">
        <values>
          <value>
            <val>924824</val>
          </value>
        </values>
      </ddeItem>
      <ddeItem name="@CTA[8-2-1-2-4-2491,F,2,#6]" advise="1">
        <values>
          <value>
            <val>0</val>
          </value>
        </values>
      </ddeItem>
      <ddeItem name="@CTA[8-2-1-2-4-2491,F,3,#6]" advise="1">
        <values>
          <value t="nil">
            <val>1</val>
          </value>
        </values>
      </ddeItem>
      <ddeItem name="@CTA[8-2-1-2-4-2491,F,4,#6]" advise="1">
        <values>
          <value>
            <val>0</val>
          </value>
        </values>
      </ddeItem>
      <ddeItem name="@CTA[8-2-1-2-4-2491,F,5,#6]" advise="1">
        <values>
          <value>
            <val>891840</val>
          </value>
        </values>
      </ddeItem>
      <ddeItem name="@CTA[8-2-1-2-4-2491,F,6,#6]" advise="1">
        <values>
          <value t="nil">
            <val>1</val>
          </value>
        </values>
      </ddeItem>
      <ddeItem name="@CTA[8-2-1-2-4-2491,F,7,#6]" advise="1">
        <values>
          <value t="nil">
            <val>1</val>
          </value>
        </values>
      </ddeItem>
      <ddeItem name="@CTA[8-2-1-2-4-2491,F,8,#6]" advise="1">
        <values>
          <value t="nil">
            <val>1</val>
          </value>
        </values>
      </ddeItem>
      <ddeItem name="@CTA[8-2-1-2-4-2491,F,9,#6]" advise="1">
        <values>
          <value t="nil">
            <val>1</val>
          </value>
        </values>
      </ddeItem>
      <ddeItem name="@CTA[8-2-1-2-4-2492,F,1,#6]" advise="1">
        <values>
          <value>
            <val>1016707</val>
          </value>
        </values>
      </ddeItem>
      <ddeItem name="@CTA[8-2-1-2-4-2492,F,2,#6]" advise="1">
        <values>
          <value t="nil">
            <val>1</val>
          </value>
        </values>
      </ddeItem>
      <ddeItem name="@CTA[8-2-1-2-4-2492,F,3,#6]" advise="1">
        <values>
          <value t="nil">
            <val>1</val>
          </value>
        </values>
      </ddeItem>
      <ddeItem name="@CTA[8-2-1-2-4-2492,F,4,#6]" advise="1">
        <values>
          <value t="nil">
            <val>1</val>
          </value>
        </values>
      </ddeItem>
      <ddeItem name="@CTA[8-2-1-2-4-2492,F,5,#6]" advise="1">
        <values>
          <value t="nil">
            <val>1</val>
          </value>
        </values>
      </ddeItem>
      <ddeItem name="@CTA[8-2-1-2-4-2492,F,6,#6]" advise="1">
        <values>
          <value t="nil">
            <val>1</val>
          </value>
        </values>
      </ddeItem>
      <ddeItem name="@CTA[8-2-1-2-4-2492,F,7,#6]" advise="1">
        <values>
          <value>
            <val>250000</val>
          </value>
        </values>
      </ddeItem>
      <ddeItem name="@CTA[8-2-1-2-4-2492,F,8,#6]" advise="1">
        <values>
          <value t="nil">
            <val>1</val>
          </value>
        </values>
      </ddeItem>
      <ddeItem name="@CTA[8-2-1-2-4-2492,F,9,#6]" advise="1">
        <values>
          <value t="nil">
            <val>1</val>
          </value>
        </values>
      </ddeItem>
      <ddeItem name="@CTA[8-2-1-2-5,F,#5]" advise="1">
        <values>
          <value>
            <val>561905</val>
          </value>
        </values>
      </ddeItem>
      <ddeItem name="@CTA[8-2-1-2-5-2531,F,1,#6]" advise="1">
        <values>
          <value t="nil">
            <val>1</val>
          </value>
        </values>
      </ddeItem>
      <ddeItem name="@CTA[8-2-1-2-5-2531,F,2,#6]" advise="1">
        <values>
          <value t="nil">
            <val>1</val>
          </value>
        </values>
      </ddeItem>
      <ddeItem name="@CTA[8-2-1-2-5-2531,F,3,#6]" advise="1">
        <values>
          <value>
            <val>3000</val>
          </value>
        </values>
      </ddeItem>
      <ddeItem name="@CTA[8-2-1-2-5-2531,F,4,#6]" advise="1">
        <values>
          <value t="nil">
            <val>1</val>
          </value>
        </values>
      </ddeItem>
      <ddeItem name="@CTA[8-2-1-2-5-2531,F,5,#6]" advise="1">
        <values>
          <value t="nil">
            <val>1</val>
          </value>
        </values>
      </ddeItem>
      <ddeItem name="@CTA[8-2-1-2-5-2531,F,6,#6]" advise="1">
        <values>
          <value t="nil">
            <val>1</val>
          </value>
        </values>
      </ddeItem>
      <ddeItem name="@CTA[8-2-1-2-5-2531,F,7,#6]" advise="1">
        <values>
          <value>
            <val>0</val>
          </value>
        </values>
      </ddeItem>
      <ddeItem name="@CTA[8-2-1-2-5-2531,F,8,#6]" advise="1">
        <values>
          <value t="nil">
            <val>1</val>
          </value>
        </values>
      </ddeItem>
      <ddeItem name="@CTA[8-2-1-2-5-2531,F,9,#6]" advise="1">
        <values>
          <value t="nil">
            <val>1</val>
          </value>
        </values>
      </ddeItem>
      <ddeItem name="@CTA[8-2-1-2-5-2551,F,1,#6]" advise="1">
        <values>
          <value t="nil">
            <val>1</val>
          </value>
        </values>
      </ddeItem>
      <ddeItem name="@CTA[8-2-1-2-5-2551,F,2,#6]" advise="1">
        <values>
          <value t="nil">
            <val>1</val>
          </value>
        </values>
      </ddeItem>
      <ddeItem name="@CTA[8-2-1-2-5-2551,F,3,#6]" advise="1">
        <values>
          <value t="nil">
            <val>1</val>
          </value>
        </values>
      </ddeItem>
      <ddeItem name="@CTA[8-2-1-2-5-2551,F,4,#6]" advise="1">
        <values>
          <value t="nil">
            <val>1</val>
          </value>
        </values>
      </ddeItem>
      <ddeItem name="@CTA[8-2-1-2-5-2551,F,5,#6]" advise="1">
        <values>
          <value t="nil">
            <val>1</val>
          </value>
        </values>
      </ddeItem>
      <ddeItem name="@CTA[8-2-1-2-5-2551,F,6,#6]" advise="1">
        <values>
          <value t="nil">
            <val>1</val>
          </value>
        </values>
      </ddeItem>
      <ddeItem name="@CTA[8-2-1-2-5-2551,F,7,#6]" advise="1">
        <values>
          <value>
            <val>0</val>
          </value>
        </values>
      </ddeItem>
      <ddeItem name="@CTA[8-2-1-2-5-2551,F,8,#6]" advise="1">
        <values>
          <value t="nil">
            <val>1</val>
          </value>
        </values>
      </ddeItem>
      <ddeItem name="@CTA[8-2-1-2-5-2551,F,9,#6]" advise="1">
        <values>
          <value t="nil">
            <val>1</val>
          </value>
        </values>
      </ddeItem>
      <ddeItem name="@CTA[8-2-1-2-5-2591,F,1,#6]" advise="1">
        <values>
          <value>
            <val>481020</val>
          </value>
        </values>
      </ddeItem>
      <ddeItem name="@CTA[8-2-1-2-5-2591,F,2,#6]" advise="1">
        <values>
          <value>
            <val>452</val>
          </value>
        </values>
      </ddeItem>
      <ddeItem name="@CTA[8-2-1-2-5-2591,F,3,#6]" advise="1">
        <values>
          <value>
            <val>852</val>
          </value>
        </values>
      </ddeItem>
      <ddeItem name="@CTA[8-2-1-2-5-2591,F,4,#6]" advise="1">
        <values>
          <value>
            <val>1652</val>
          </value>
        </values>
      </ddeItem>
      <ddeItem name="@CTA[8-2-1-2-5-2591,F,5,#6]" advise="1">
        <values>
          <value>
            <val>1252</val>
          </value>
        </values>
      </ddeItem>
      <ddeItem name="@CTA[8-2-1-2-5-2591,F,6,#6]" advise="1">
        <values>
          <value>
            <val>852</val>
          </value>
        </values>
      </ddeItem>
      <ddeItem name="@CTA[8-2-1-2-5-2591,F,7,#6]" advise="1">
        <values>
          <value>
            <val>68147</val>
          </value>
        </values>
      </ddeItem>
      <ddeItem name="@CTA[8-2-1-2-5-2591,F,8,#6]" advise="1">
        <values>
          <value>
            <val>4226</val>
          </value>
        </values>
      </ddeItem>
      <ddeItem name="@CTA[8-2-1-2-5-2591,F,9,#6]" advise="1">
        <values>
          <value>
            <val>452</val>
          </value>
        </values>
      </ddeItem>
      <ddeItem name="@CTA[8-2-1-2-6,F,#5]" advise="1">
        <values>
          <value>
            <val>747675</val>
          </value>
        </values>
      </ddeItem>
      <ddeItem name="@CTA[8-2-1-2-6-2611,F,1,#6]" advise="1">
        <values>
          <value t="nil">
            <val>1</val>
          </value>
        </values>
      </ddeItem>
      <ddeItem name="@CTA[8-2-1-2-6-2611,F,2,#6]" advise="1">
        <values>
          <value>
            <val>31200</val>
          </value>
        </values>
      </ddeItem>
      <ddeItem name="@CTA[8-2-1-2-6-2611,F,3,#6]" advise="1">
        <values>
          <value t="nil">
            <val>1</val>
          </value>
        </values>
      </ddeItem>
      <ddeItem name="@CTA[8-2-1-2-6-2611,F,4,#6]" advise="1">
        <values>
          <value>
            <val>0</val>
          </value>
        </values>
      </ddeItem>
      <ddeItem name="@CTA[8-2-1-2-6-2611,F,5,#6]" advise="1">
        <values>
          <value>
            <val>12000</val>
          </value>
        </values>
      </ddeItem>
      <ddeItem name="@CTA[8-2-1-2-6-2611,F,6,#6]" advise="1">
        <values>
          <value>
            <val>0</val>
          </value>
        </values>
      </ddeItem>
      <ddeItem name="@CTA[8-2-1-2-6-2611,F,7,#6]" advise="1">
        <values>
          <value>
            <val>29273</val>
          </value>
        </values>
      </ddeItem>
      <ddeItem name="@CTA[8-2-1-2-6-2611,F,8,#6]" advise="1">
        <values>
          <value>
            <val>15000</val>
          </value>
        </values>
      </ddeItem>
      <ddeItem name="@CTA[8-2-1-2-6-2611,F,9,#6]" advise="1">
        <values>
          <value>
            <val>27436</val>
          </value>
        </values>
      </ddeItem>
      <ddeItem name="@CTA[8-2-1-2-6-2612,F,1,#6]" advise="1">
        <values>
          <value>
            <val>618753</val>
          </value>
        </values>
      </ddeItem>
      <ddeItem name="@CTA[8-2-1-2-6-2612,F,2,#6]" advise="1">
        <values>
          <value t="nil">
            <val>1</val>
          </value>
        </values>
      </ddeItem>
      <ddeItem name="@CTA[8-2-1-2-6-2612,F,3,#6]" advise="1">
        <values>
          <value t="nil">
            <val>1</val>
          </value>
        </values>
      </ddeItem>
      <ddeItem name="@CTA[8-2-1-2-6-2612,F,4,#6]" advise="1">
        <values>
          <value t="nil">
            <val>1</val>
          </value>
        </values>
      </ddeItem>
      <ddeItem name="@CTA[8-2-1-2-6-2612,F,5,#6]" advise="1">
        <values>
          <value t="nil">
            <val>1</val>
          </value>
        </values>
      </ddeItem>
      <ddeItem name="@CTA[8-2-1-2-6-2612,F,6,#6]" advise="1">
        <values>
          <value t="nil">
            <val>1</val>
          </value>
        </values>
      </ddeItem>
      <ddeItem name="@CTA[8-2-1-2-6-2612,F,7,#6]" advise="1">
        <values>
          <value>
            <val>14013</val>
          </value>
        </values>
      </ddeItem>
      <ddeItem name="@CTA[8-2-1-2-6-2612,F,8,#6]" advise="1">
        <values>
          <value t="nil">
            <val>1</val>
          </value>
        </values>
      </ddeItem>
      <ddeItem name="@CTA[8-2-1-2-6-2612,F,9,#6]" advise="1">
        <values>
          <value t="nil">
            <val>1</val>
          </value>
        </values>
      </ddeItem>
      <ddeItem name="@CTA[8-2-1-2-7,F,#5]" advise="1">
        <values>
          <value>
            <val>424669</val>
          </value>
        </values>
      </ddeItem>
      <ddeItem name="@CTA[8-2-1-2-7-2711,F,1,#6]" advise="1">
        <values>
          <value>
            <val>9600</val>
          </value>
        </values>
      </ddeItem>
      <ddeItem name="@CTA[8-2-1-2-7-2711,F,2,#6]" advise="1">
        <values>
          <value>
            <val>12000</val>
          </value>
        </values>
      </ddeItem>
      <ddeItem name="@CTA[8-2-1-2-7-2711,F,3,#6]" advise="1">
        <values>
          <value>
            <val>9600</val>
          </value>
        </values>
      </ddeItem>
      <ddeItem name="@CTA[8-2-1-2-7-2711,F,4,#6]" advise="1">
        <values>
          <value>
            <val>30000</val>
          </value>
        </values>
      </ddeItem>
      <ddeItem name="@CTA[8-2-1-2-7-2711,F,5,#6]" advise="1">
        <values>
          <value>
            <val>12000</val>
          </value>
        </values>
      </ddeItem>
      <ddeItem name="@CTA[8-2-1-2-7-2711,F,6,#6]" advise="1">
        <values>
          <value>
            <val>2400</val>
          </value>
        </values>
      </ddeItem>
      <ddeItem name="@CTA[8-2-1-2-7-2711,F,7,#6]" advise="1">
        <values>
          <value>
            <val>1200</val>
          </value>
        </values>
      </ddeItem>
      <ddeItem name="@CTA[8-2-1-2-7-2711,F,8,#6]" advise="1">
        <values>
          <value>
            <val>7200</val>
          </value>
        </values>
      </ddeItem>
      <ddeItem name="@CTA[8-2-1-2-7-2711,F,9,#6]" advise="1">
        <values>
          <value>
            <val>6000</val>
          </value>
        </values>
      </ddeItem>
      <ddeItem name="@CTA[8-2-1-2-7-2712,F,1,#6]" advise="1">
        <values>
          <value>
            <val>174646</val>
          </value>
        </values>
      </ddeItem>
      <ddeItem name="@CTA[8-2-1-2-7-2712,F,2,#6]" advise="1">
        <values>
          <value>
            <val>1000</val>
          </value>
        </values>
      </ddeItem>
      <ddeItem name="@CTA[8-2-1-2-7-2712,F,3,#6]" advise="1">
        <values>
          <value>
            <val>36824</val>
          </value>
        </values>
      </ddeItem>
      <ddeItem name="@CTA[8-2-1-2-7-2712,F,4,#6]" advise="1">
        <values>
          <value>
            <val>0</val>
          </value>
        </values>
      </ddeItem>
      <ddeItem name="@CTA[8-2-1-2-7-2712,F,5,#6]" advise="1">
        <values>
          <value>
            <val>31816</val>
          </value>
        </values>
      </ddeItem>
      <ddeItem name="@CTA[8-2-1-2-7-2712,F,6,#6]" advise="1">
        <values>
          <value>
            <val>0</val>
          </value>
        </values>
      </ddeItem>
      <ddeItem name="@CTA[8-2-1-2-7-2712,F,7,#6]" advise="1">
        <values>
          <value>
            <val>50344</val>
          </value>
        </values>
      </ddeItem>
      <ddeItem name="@CTA[8-2-1-2-7-2712,F,8,#6]" advise="1">
        <values>
          <value>
            <val>0</val>
          </value>
        </values>
      </ddeItem>
      <ddeItem name="@CTA[8-2-1-2-7-2712,F,9,#6]" advise="1">
        <values>
          <value t="nil">
            <val>1</val>
          </value>
        </values>
      </ddeItem>
      <ddeItem name="@CTA[8-2-1-2-7-2721,F,1,#6]" advise="1">
        <values>
          <value>
            <val>20439</val>
          </value>
        </values>
      </ddeItem>
      <ddeItem name="@CTA[8-2-1-2-7-2721,F,2,#6]" advise="1">
        <values>
          <value t="nil">
            <val>1</val>
          </value>
        </values>
      </ddeItem>
      <ddeItem name="@CTA[8-2-1-2-7-2721,F,3,#6]" advise="1">
        <values>
          <value t="nil">
            <val>1</val>
          </value>
        </values>
      </ddeItem>
      <ddeItem name="@CTA[8-2-1-2-7-2721,F,4,#6]" advise="1">
        <values>
          <value t="nil">
            <val>1</val>
          </value>
        </values>
      </ddeItem>
      <ddeItem name="@CTA[8-2-1-2-7-2721,F,5,#6]" advise="1">
        <values>
          <value t="nil">
            <val>1</val>
          </value>
        </values>
      </ddeItem>
      <ddeItem name="@CTA[8-2-1-2-7-2721,F,6,#6]" advise="1">
        <values>
          <value t="nil">
            <val>1</val>
          </value>
        </values>
      </ddeItem>
      <ddeItem name="@CTA[8-2-1-2-7-2721,F,7,#6]" advise="1">
        <values>
          <value>
            <val>11242</val>
          </value>
        </values>
      </ddeItem>
      <ddeItem name="@CTA[8-2-1-2-7-2721,F,8,#6]" advise="1">
        <values>
          <value t="nil">
            <val>1</val>
          </value>
        </values>
      </ddeItem>
      <ddeItem name="@CTA[8-2-1-2-7-2721,F,9,#6]" advise="1">
        <values>
          <value>
            <val>358</val>
          </value>
        </values>
      </ddeItem>
      <ddeItem name="@CTA[8-2-1-2-7-2731,F,1,#6]" advise="1">
        <values>
          <value>
            <val>8000</val>
          </value>
        </values>
      </ddeItem>
      <ddeItem name="@CTA[8-2-1-2-7-2731,F,2,#6]" advise="1">
        <values>
          <value t="nil">
            <val>1</val>
          </value>
        </values>
      </ddeItem>
      <ddeItem name="@CTA[8-2-1-2-7-2731,F,3,#6]" advise="1">
        <values>
          <value t="nil">
            <val>1</val>
          </value>
        </values>
      </ddeItem>
      <ddeItem name="@CTA[8-2-1-2-7-2731,F,4,#6]" advise="1">
        <values>
          <value t="nil">
            <val>1</val>
          </value>
        </values>
      </ddeItem>
      <ddeItem name="@CTA[8-2-1-2-7-2731,F,5,#6]" advise="1">
        <values>
          <value t="nil">
            <val>1</val>
          </value>
        </values>
      </ddeItem>
      <ddeItem name="@CTA[8-2-1-2-7-2731,F,6,#6]" advise="1">
        <values>
          <value t="nil">
            <val>1</val>
          </value>
        </values>
      </ddeItem>
      <ddeItem name="@CTA[8-2-1-2-7-2731,F,7,#6]" advise="1">
        <values>
          <value t="nil">
            <val>1</val>
          </value>
        </values>
      </ddeItem>
      <ddeItem name="@CTA[8-2-1-2-7-2731,F,8,#6]" advise="1">
        <values>
          <value t="nil">
            <val>1</val>
          </value>
        </values>
      </ddeItem>
      <ddeItem name="@CTA[8-2-1-2-7-2731,F,9,#6]" advise="1">
        <values>
          <value t="nil">
            <val>1</val>
          </value>
        </values>
      </ddeItem>
      <ddeItem name="@CTA[8-2-1-2-8,F,#5]" advise="1">
        <values>
          <value t="nil">
            <val>1</val>
          </value>
        </values>
      </ddeItem>
      <ddeItem name="@CTA[8-2-1-2-9,F,#5]" advise="1">
        <values>
          <value>
            <val>135195</val>
          </value>
        </values>
      </ddeItem>
      <ddeItem name="@CTA[8-2-1-2-9-2911,F,1,#6]" advise="1">
        <values>
          <value>
            <val>81877</val>
          </value>
        </values>
      </ddeItem>
      <ddeItem name="@CTA[8-2-1-2-9-2911,F,2,#6]" advise="1">
        <values>
          <value>
            <val>632</val>
          </value>
        </values>
      </ddeItem>
      <ddeItem name="@CTA[8-2-1-2-9-2911,F,3,#6]" advise="1">
        <values>
          <value>
            <val>5921</val>
          </value>
        </values>
      </ddeItem>
      <ddeItem name="@CTA[8-2-1-2-9-2911,F,4,#6]" advise="1">
        <values>
          <value>
            <val>0</val>
          </value>
        </values>
      </ddeItem>
      <ddeItem name="@CTA[8-2-1-2-9-2911,F,5,#6]" advise="1">
        <values>
          <value>
            <val>13618</val>
          </value>
        </values>
      </ddeItem>
      <ddeItem name="@CTA[8-2-1-2-9-2911,F,6,#6]" advise="1">
        <values>
          <value>
            <val>15158</val>
          </value>
        </values>
      </ddeItem>
      <ddeItem name="@CTA[8-2-1-2-9-2911,F,7,#6]" advise="1">
        <values>
          <value>
            <val>14989</val>
          </value>
        </values>
      </ddeItem>
      <ddeItem name="@CTA[8-2-1-2-9-2911,F,8,#6]" advise="1">
        <values>
          <value>
            <val>3000</val>
          </value>
        </values>
      </ddeItem>
      <ddeItem name="@CTA[8-2-1-2-9-2911,F,9,#6]" advise="1">
        <values>
          <value>
            <val>0</val>
          </value>
        </values>
      </ddeItem>
      <ddeItem name="@CTA[8-2-1-3,F,#4]" advise="1">
        <values>
          <value>
            <val>15671932</val>
          </value>
        </values>
      </ddeItem>
      <ddeItem name="@CTA[8-2-1-3-1,F,#5]" advise="1">
        <values>
          <value>
            <val>6840651</val>
          </value>
        </values>
      </ddeItem>
      <ddeItem name="@CTA[8-2-1-3-1-3111,F,1,#6]" advise="1">
        <values>
          <value>
            <val>5409536</val>
          </value>
        </values>
      </ddeItem>
      <ddeItem name="@CTA[8-2-1-3-1-3111,F,2,#6]" advise="1">
        <values>
          <value>
            <val>5605</val>
          </value>
        </values>
      </ddeItem>
      <ddeItem name="@CTA[8-2-1-3-1-3111,F,3,#6]" advise="1">
        <values>
          <value>
            <val>5605</val>
          </value>
        </values>
      </ddeItem>
      <ddeItem name="@CTA[8-2-1-3-1-3111,F,4,#6]" advise="1">
        <values>
          <value>
            <val>5605</val>
          </value>
        </values>
      </ddeItem>
      <ddeItem name="@CTA[8-2-1-3-1-3111,F,5,#6]" advise="1">
        <values>
          <value>
            <val>5605</val>
          </value>
        </values>
      </ddeItem>
      <ddeItem name="@CTA[8-2-1-3-1-3111,F,6,#6]" advise="1">
        <values>
          <value>
            <val>5605</val>
          </value>
        </values>
      </ddeItem>
      <ddeItem name="@CTA[8-2-1-3-1-3111,F,7,#6]" advise="1">
        <values>
          <value>
            <val>1303779</val>
          </value>
        </values>
      </ddeItem>
      <ddeItem name="@CTA[8-2-1-3-1-3111,F,8,#6]" advise="1">
        <values>
          <value>
            <val>5605</val>
          </value>
        </values>
      </ddeItem>
      <ddeItem name="@CTA[8-2-1-3-1-3111,F,9,#6]" advise="1">
        <values>
          <value>
            <val>5605</val>
          </value>
        </values>
      </ddeItem>
      <ddeItem name="@CTA[8-2-1-3-1-3131,F,1,#6]" advise="1">
        <values>
          <value>
            <val>960</val>
          </value>
        </values>
      </ddeItem>
      <ddeItem name="@CTA[8-2-1-3-1-3131,F,2,#6]" advise="1">
        <values>
          <value>
            <val>960</val>
          </value>
        </values>
      </ddeItem>
      <ddeItem name="@CTA[8-2-1-3-1-3131,F,3,#6]" advise="1">
        <values>
          <value>
            <val>960</val>
          </value>
        </values>
      </ddeItem>
      <ddeItem name="@CTA[8-2-1-3-1-3131,F,4,#6]" advise="1">
        <values>
          <value>
            <val>960</val>
          </value>
        </values>
      </ddeItem>
      <ddeItem name="@CTA[8-2-1-3-1-3131,F,5,#6]" advise="1">
        <values>
          <value>
            <val>960</val>
          </value>
        </values>
      </ddeItem>
      <ddeItem name="@CTA[8-2-1-3-1-3131,F,6,#6]" advise="1">
        <values>
          <value>
            <val>960</val>
          </value>
        </values>
      </ddeItem>
      <ddeItem name="@CTA[8-2-1-3-1-3131,F,7,#6]" advise="1">
        <values>
          <value>
            <val>960</val>
          </value>
        </values>
      </ddeItem>
      <ddeItem name="@CTA[8-2-1-3-1-3131,F,8,#6]" advise="1">
        <values>
          <value>
            <val>960</val>
          </value>
        </values>
      </ddeItem>
      <ddeItem name="@CTA[8-2-1-3-1-3131,F,9,#6]" advise="1">
        <values>
          <value>
            <val>960</val>
          </value>
        </values>
      </ddeItem>
      <ddeItem name="@CTA[8-2-1-3-1-3141,F,1,#6]" advise="1">
        <values>
          <value>
            <val>2940</val>
          </value>
        </values>
      </ddeItem>
      <ddeItem name="@CTA[8-2-1-3-1-3141,F,2,#6]" advise="1">
        <values>
          <value>
            <val>2940</val>
          </value>
        </values>
      </ddeItem>
      <ddeItem name="@CTA[8-2-1-3-1-3141,F,3,#6]" advise="1">
        <values>
          <value>
            <val>2940</val>
          </value>
        </values>
      </ddeItem>
      <ddeItem name="@CTA[8-2-1-3-1-3141,F,4,#6]" advise="1">
        <values>
          <value>
            <val>2940</val>
          </value>
        </values>
      </ddeItem>
      <ddeItem name="@CTA[8-2-1-3-1-3141,F,5,#6]" advise="1">
        <values>
          <value>
            <val>2940</val>
          </value>
        </values>
      </ddeItem>
      <ddeItem name="@CTA[8-2-1-3-1-3141,F,6,#6]" advise="1">
        <values>
          <value>
            <val>2940</val>
          </value>
        </values>
      </ddeItem>
      <ddeItem name="@CTA[8-2-1-3-1-3141,F,7,#6]" advise="1">
        <values>
          <value>
            <val>2940</val>
          </value>
        </values>
      </ddeItem>
      <ddeItem name="@CTA[8-2-1-3-1-3141,F,8,#6]" advise="1">
        <values>
          <value>
            <val>2940</val>
          </value>
        </values>
      </ddeItem>
      <ddeItem name="@CTA[8-2-1-3-1-3141,F,9,#6]" advise="1">
        <values>
          <value>
            <val>2940</val>
          </value>
        </values>
      </ddeItem>
      <ddeItem name="@CTA[8-2-1-3-1-3161,F,1,#6]" advise="1">
        <values>
          <value>
            <val>25500</val>
          </value>
        </values>
      </ddeItem>
      <ddeItem name="@CTA[8-2-1-3-1-3161,F,2,#6]" advise="1">
        <values>
          <value>
            <val>12000</val>
          </value>
        </values>
      </ddeItem>
      <ddeItem name="@CTA[8-2-1-3-1-3161,F,3,#6]" advise="1">
        <values>
          <value>
            <val>0</val>
          </value>
        </values>
      </ddeItem>
      <ddeItem name="@CTA[8-2-1-3-1-3161,F,4,#6]" advise="1">
        <values>
          <value t="nil">
            <val>1</val>
          </value>
        </values>
      </ddeItem>
      <ddeItem name="@CTA[8-2-1-3-1-3161,F,5,#6]" advise="1">
        <values>
          <value>
            <val>1050</val>
          </value>
        </values>
      </ddeItem>
      <ddeItem name="@CTA[8-2-1-3-1-3161,F,6,#6]" advise="1">
        <values>
          <value>
            <val>0</val>
          </value>
        </values>
      </ddeItem>
      <ddeItem name="@CTA[8-2-1-3-1-3161,F,7,#6]" advise="1">
        <values>
          <value>
            <val>0</val>
          </value>
        </values>
      </ddeItem>
      <ddeItem name="@CTA[8-2-1-3-1-3161,F,8,#6]" advise="1">
        <values>
          <value>
            <val>0</val>
          </value>
        </values>
      </ddeItem>
      <ddeItem name="@CTA[8-2-1-3-1-3161,F,9,#6]" advise="1">
        <values>
          <value>
            <val>2250</val>
          </value>
        </values>
      </ddeItem>
      <ddeItem name="@CTA[8-2-1-3-1-3171,F,1,#6]" advise="1">
        <values>
          <value>
            <val>655</val>
          </value>
        </values>
      </ddeItem>
      <ddeItem name="@CTA[8-2-1-3-1-3171,F,2,#6]" advise="1">
        <values>
          <value>
            <val>655</val>
          </value>
        </values>
      </ddeItem>
      <ddeItem name="@CTA[8-2-1-3-1-3171,F,3,#6]" advise="1">
        <values>
          <value>
            <val>3961</val>
          </value>
        </values>
      </ddeItem>
      <ddeItem name="@CTA[8-2-1-3-1-3171,F,4,#6]" advise="1">
        <values>
          <value>
            <val>3655</val>
          </value>
        </values>
      </ddeItem>
      <ddeItem name="@CTA[8-2-1-3-1-3171,F,5,#6]" advise="1">
        <values>
          <value>
            <val>655</val>
          </value>
        </values>
      </ddeItem>
      <ddeItem name="@CTA[8-2-1-3-1-3171,F,6,#6]" advise="1">
        <values>
          <value>
            <val>655</val>
          </value>
        </values>
      </ddeItem>
      <ddeItem name="@CTA[8-2-1-3-1-3171,F,7,#6]" advise="1">
        <values>
          <value>
            <val>655</val>
          </value>
        </values>
      </ddeItem>
      <ddeItem name="@CTA[8-2-1-3-1-3171,F,8,#6]" advise="1">
        <values>
          <value>
            <val>655</val>
          </value>
        </values>
      </ddeItem>
      <ddeItem name="@CTA[8-2-1-3-1-3171,F,9,#6]" advise="1">
        <values>
          <value>
            <val>655</val>
          </value>
        </values>
      </ddeItem>
      <ddeItem name="@CTA[8-2-1-3-1-3181,F,1,#6]" advise="1">
        <values>
          <value>
            <val>0</val>
          </value>
        </values>
      </ddeItem>
      <ddeItem name="@CTA[8-2-1-3-1-3181,F,2,#6]" advise="1">
        <values>
          <value>
            <val>0</val>
          </value>
        </values>
      </ddeItem>
      <ddeItem name="@CTA[8-2-1-3-1-3181,F,3,#6]" advise="1">
        <values>
          <value t="nil">
            <val>1</val>
          </value>
        </values>
      </ddeItem>
      <ddeItem name="@CTA[8-2-1-3-1-3181,F,4,#6]" advise="1">
        <values>
          <value t="nil">
            <val>1</val>
          </value>
        </values>
      </ddeItem>
      <ddeItem name="@CTA[8-2-1-3-1-3181,F,5,#6]" advise="1">
        <values>
          <value t="nil">
            <val>1</val>
          </value>
        </values>
      </ddeItem>
      <ddeItem name="@CTA[8-2-1-3-1-3181,F,6,#6]" advise="1">
        <values>
          <value t="nil">
            <val>1</val>
          </value>
        </values>
      </ddeItem>
      <ddeItem name="@CTA[8-2-1-3-1-3181,F,7,#6]" advise="1">
        <values>
          <value t="nil">
            <val>1</val>
          </value>
        </values>
      </ddeItem>
      <ddeItem name="@CTA[8-2-1-3-1-3181,F,8,#6]" advise="1">
        <values>
          <value t="nil">
            <val>1</val>
          </value>
        </values>
      </ddeItem>
      <ddeItem name="@CTA[8-2-1-3-1-3181,F,9,#6]" advise="1">
        <values>
          <value t="nil">
            <val>1</val>
          </value>
        </values>
      </ddeItem>
      <ddeItem name="@CTA[8-2-1-3-1-3182,F,1,#6]" advise="1">
        <values>
          <value t="nil">
            <val>1</val>
          </value>
        </values>
      </ddeItem>
      <ddeItem name="@CTA[8-2-1-3-1-3182,F,2,#6]" advise="1">
        <values>
          <value>
            <val>0</val>
          </value>
        </values>
      </ddeItem>
      <ddeItem name="@CTA[8-2-1-3-1-3182,F,3,#6]" advise="1">
        <values>
          <value t="nil">
            <val>1</val>
          </value>
        </values>
      </ddeItem>
      <ddeItem name="@CTA[8-2-1-3-1-3182,F,4,#6]" advise="1">
        <values>
          <value t="nil">
            <val>1</val>
          </value>
        </values>
      </ddeItem>
      <ddeItem name="@CTA[8-2-1-3-1-3182,F,5,#6]" advise="1">
        <values>
          <value t="nil">
            <val>1</val>
          </value>
        </values>
      </ddeItem>
      <ddeItem name="@CTA[8-2-1-3-1-3182,F,6,#6]" advise="1">
        <values>
          <value t="nil">
            <val>1</val>
          </value>
        </values>
      </ddeItem>
      <ddeItem name="@CTA[8-2-1-3-1-3182,F,7,#6]" advise="1">
        <values>
          <value t="nil">
            <val>1</val>
          </value>
        </values>
      </ddeItem>
      <ddeItem name="@CTA[8-2-1-3-1-3182,F,8,#6]" advise="1">
        <values>
          <value t="nil">
            <val>1</val>
          </value>
        </values>
      </ddeItem>
      <ddeItem name="@CTA[8-2-1-3-1-3182,F,9,#6]" advise="1">
        <values>
          <value t="nil">
            <val>1</val>
          </value>
        </values>
      </ddeItem>
      <ddeItem name="@CTA[8-2-1-3-2,F,#5]" advise="1">
        <values>
          <value>
            <val>29200</val>
          </value>
        </values>
      </ddeItem>
      <ddeItem name="@CTA[8-2-1-3-2-3211,F,1,#6]" advise="1">
        <values>
          <value t="nil">
            <val>1</val>
          </value>
        </values>
      </ddeItem>
      <ddeItem name="@CTA[8-2-1-3-2-3211,F,2,#6]" advise="1">
        <values>
          <value t="nil">
            <val>1</val>
          </value>
        </values>
      </ddeItem>
      <ddeItem name="@CTA[8-2-1-3-2-3211,F,3,#6]" advise="1">
        <values>
          <value t="nil">
            <val>1</val>
          </value>
        </values>
      </ddeItem>
      <ddeItem name="@CTA[8-2-1-3-2-3211,F,4,#6]" advise="1">
        <values>
          <value t="nil">
            <val>1</val>
          </value>
        </values>
      </ddeItem>
      <ddeItem name="@CTA[8-2-1-3-2-3211,F,5,#6]" advise="1">
        <values>
          <value t="nil">
            <val>1</val>
          </value>
        </values>
      </ddeItem>
      <ddeItem name="@CTA[8-2-1-3-2-3211,F,6,#6]" advise="1">
        <values>
          <value t="nil">
            <val>1</val>
          </value>
        </values>
      </ddeItem>
      <ddeItem name="@CTA[8-2-1-3-2-3211,F,7,#6]" advise="1">
        <values>
          <value t="nil">
            <val>1</val>
          </value>
        </values>
      </ddeItem>
      <ddeItem name="@CTA[8-2-1-3-2-3211,F,8,#6]" advise="1">
        <values>
          <value t="nil">
            <val>1</val>
          </value>
        </values>
      </ddeItem>
      <ddeItem name="@CTA[8-2-1-3-2-3211,F,9,#6]" advise="1">
        <values>
          <value t="nil">
            <val>1</val>
          </value>
        </values>
      </ddeItem>
      <ddeItem name="@CTA[8-2-1-3-2-3231,F,1,#6]" advise="1">
        <values>
          <value>
            <val>2400</val>
          </value>
        </values>
      </ddeItem>
      <ddeItem name="@CTA[8-2-1-3-2-3231,F,2,#6]" advise="1">
        <values>
          <value>
            <val>0</val>
          </value>
        </values>
      </ddeItem>
      <ddeItem name="@CTA[8-2-1-3-2-3231,F,3,#6]" advise="1">
        <values>
          <value>
            <val>0</val>
          </value>
        </values>
      </ddeItem>
      <ddeItem name="@CTA[8-2-1-3-2-3231,F,4,#6]" advise="1">
        <values>
          <value>
            <val>0</val>
          </value>
        </values>
      </ddeItem>
      <ddeItem name="@CTA[8-2-1-3-2-3231,F,5,#6]" advise="1">
        <values>
          <value>
            <val>400</val>
          </value>
        </values>
      </ddeItem>
      <ddeItem name="@CTA[8-2-1-3-2-3231,F,6,#6]" advise="1">
        <values>
          <value>
            <val>0</val>
          </value>
        </values>
      </ddeItem>
      <ddeItem name="@CTA[8-2-1-3-2-3231,F,7,#6]" advise="1">
        <values>
          <value>
            <val>0</val>
          </value>
        </values>
      </ddeItem>
      <ddeItem name="@CTA[8-2-1-3-2-3231,F,8,#6]" advise="1">
        <values>
          <value>
            <val>0</val>
          </value>
        </values>
      </ddeItem>
      <ddeItem name="@CTA[8-2-1-3-2-3231,F,9,#6]" advise="1">
        <values>
          <value>
            <val>7200</val>
          </value>
        </values>
      </ddeItem>
      <ddeItem name="@CTA[8-2-1-3-2-3261,F,1,#6]" advise="1">
        <values>
          <value t="nil">
            <val>1</val>
          </value>
        </values>
      </ddeItem>
      <ddeItem name="@CTA[8-2-1-3-2-3261,F,2,#6]" advise="1">
        <values>
          <value t="nil">
            <val>1</val>
          </value>
        </values>
      </ddeItem>
      <ddeItem name="@CTA[8-2-1-3-2-3261,F,3,#6]" advise="1">
        <values>
          <value t="nil">
            <val>1</val>
          </value>
        </values>
      </ddeItem>
      <ddeItem name="@CTA[8-2-1-3-2-3261,F,4,#6]" advise="1">
        <values>
          <value>
            <val>0</val>
          </value>
        </values>
      </ddeItem>
      <ddeItem name="@CTA[8-2-1-3-2-3261,F,5,#6]" advise="1">
        <values>
          <value t="nil">
            <val>1</val>
          </value>
        </values>
      </ddeItem>
      <ddeItem name="@CTA[8-2-1-3-2-3261,F,6,#6]" advise="1">
        <values>
          <value t="nil">
            <val>1</val>
          </value>
        </values>
      </ddeItem>
      <ddeItem name="@CTA[8-2-1-3-2-3261,F,7,#6]" advise="1">
        <values>
          <value t="nil">
            <val>1</val>
          </value>
        </values>
      </ddeItem>
      <ddeItem name="@CTA[8-2-1-3-2-3261,F,8,#6]" advise="1">
        <values>
          <value t="nil">
            <val>1</val>
          </value>
        </values>
      </ddeItem>
      <ddeItem name="@CTA[8-2-1-3-2-3261,F,9,#6]" advise="1">
        <values>
          <value t="nil">
            <val>1</val>
          </value>
        </values>
      </ddeItem>
      <ddeItem name="@CTA[8-2-1-3-2-3291,F,1,#6]" advise="1">
        <values>
          <value t="nil">
            <val>1</val>
          </value>
        </values>
      </ddeItem>
      <ddeItem name="@CTA[8-2-1-3-2-3291,F,2,#6]" advise="1">
        <values>
          <value t="nil">
            <val>1</val>
          </value>
        </values>
      </ddeItem>
      <ddeItem name="@CTA[8-2-1-3-2-3291,F,3,#6]" advise="1">
        <values>
          <value t="nil">
            <val>1</val>
          </value>
        </values>
      </ddeItem>
      <ddeItem name="@CTA[8-2-1-3-2-3291,F,4,#6]" advise="1">
        <values>
          <value t="nil">
            <val>1</val>
          </value>
        </values>
      </ddeItem>
      <ddeItem name="@CTA[8-2-1-3-2-3291,F,5,#6]" advise="1">
        <values>
          <value t="nil">
            <val>1</val>
          </value>
        </values>
      </ddeItem>
      <ddeItem name="@CTA[8-2-1-3-2-3291,F,6,#6]" advise="1">
        <values>
          <value t="nil">
            <val>1</val>
          </value>
        </values>
      </ddeItem>
      <ddeItem name="@CTA[8-2-1-3-2-3291,F,7,#6]" advise="1">
        <values>
          <value t="nil">
            <val>1</val>
          </value>
        </values>
      </ddeItem>
      <ddeItem name="@CTA[8-2-1-3-2-3291,F,8,#6]" advise="1">
        <values>
          <value>
            <val>19200</val>
          </value>
        </values>
      </ddeItem>
      <ddeItem name="@CTA[8-2-1-3-2-3291,F,9,#6]" advise="1">
        <values>
          <value>
            <val>0</val>
          </value>
        </values>
      </ddeItem>
      <ddeItem name="@CTA[8-2-1-3-3,F,#5]" advise="1">
        <values>
          <value>
            <val>3277512</val>
          </value>
        </values>
      </ddeItem>
      <ddeItem name="@CTA[8-2-1-3-3-3311,F,1,#6]" advise="1">
        <values>
          <value t="nil">
            <val>1</val>
          </value>
        </values>
      </ddeItem>
      <ddeItem name="@CTA[8-2-1-3-3-3311,F,2,#6]" advise="1">
        <values>
          <value>
            <val>924000</val>
          </value>
        </values>
      </ddeItem>
      <ddeItem name="@CTA[8-2-1-3-3-3311,F,3,#6]" advise="1">
        <values>
          <value>
            <val>0</val>
          </value>
        </values>
      </ddeItem>
      <ddeItem name="@CTA[8-2-1-3-3-3311,F,4,#6]" advise="1">
        <values>
          <value>
            <val>75000</val>
          </value>
        </values>
      </ddeItem>
      <ddeItem name="@CTA[8-2-1-3-3-3311,F,5,#6]" advise="1">
        <values>
          <value>
            <val>0</val>
          </value>
        </values>
      </ddeItem>
      <ddeItem name="@CTA[8-2-1-3-3-3311,F,6,#6]" advise="1">
        <values>
          <value>
            <val>0</val>
          </value>
        </values>
      </ddeItem>
      <ddeItem name="@CTA[8-2-1-3-3-3311,F,7,#6]" advise="1">
        <values>
          <value t="nil">
            <val>1</val>
          </value>
        </values>
      </ddeItem>
      <ddeItem name="@CTA[8-2-1-3-3-3311,F,8,#6]" advise="1">
        <values>
          <value t="nil">
            <val>1</val>
          </value>
        </values>
      </ddeItem>
      <ddeItem name="@CTA[8-2-1-3-3-3311,F,9,#6]" advise="1">
        <values>
          <value t="nil">
            <val>1</val>
          </value>
        </values>
      </ddeItem>
      <ddeItem name="@CTA[8-2-1-3-3-3331,F,1,#6]" advise="1">
        <values>
          <value t="nil">
            <val>1</val>
          </value>
        </values>
      </ddeItem>
      <ddeItem name="@CTA[8-2-1-3-3-3331,F,2,#6]" advise="1">
        <values>
          <value t="nil">
            <val>1</val>
          </value>
        </values>
      </ddeItem>
      <ddeItem name="@CTA[8-2-1-3-3-3331,F,3,#6]" advise="1">
        <values>
          <value t="nil">
            <val>1</val>
          </value>
        </values>
      </ddeItem>
      <ddeItem name="@CTA[8-2-1-3-3-3331,F,4,#6]" advise="1">
        <values>
          <value t="nil">
            <val>1</val>
          </value>
        </values>
      </ddeItem>
      <ddeItem name="@CTA[8-2-1-3-3-3331,F,5,#6]" advise="1">
        <values>
          <value t="nil">
            <val>1</val>
          </value>
        </values>
      </ddeItem>
      <ddeItem name="@CTA[8-2-1-3-3-3331,F,6,#6]" advise="1">
        <values>
          <value t="nil">
            <val>1</val>
          </value>
        </values>
      </ddeItem>
      <ddeItem name="@CTA[8-2-1-3-3-3331,F,7,#6]" advise="1">
        <values>
          <value t="nil">
            <val>1</val>
          </value>
        </values>
      </ddeItem>
      <ddeItem name="@CTA[8-2-1-3-3-3331,F,8,#6]" advise="1">
        <values>
          <value t="nil">
            <val>1</val>
          </value>
        </values>
      </ddeItem>
      <ddeItem name="@CTA[8-2-1-3-3-3331,F,9,#6]" advise="1">
        <values>
          <value t="nil">
            <val>1</val>
          </value>
        </values>
      </ddeItem>
      <ddeItem name="@CTA[8-2-1-3-3-3332,F,1,#6]" advise="1">
        <values>
          <value>
            <val>0</val>
          </value>
        </values>
      </ddeItem>
      <ddeItem name="@CTA[8-2-1-3-3-3332,F,2,#6]" advise="1">
        <values>
          <value>
            <val>0</val>
          </value>
        </values>
      </ddeItem>
      <ddeItem name="@CTA[8-2-1-3-3-3332,F,3,#6]" advise="1">
        <values>
          <value t="nil">
            <val>1</val>
          </value>
        </values>
      </ddeItem>
      <ddeItem name="@CTA[8-2-1-3-3-3332,F,4,#6]" advise="1">
        <values>
          <value t="nil">
            <val>1</val>
          </value>
        </values>
      </ddeItem>
      <ddeItem name="@CTA[8-2-1-3-3-3332,F,5,#6]" advise="1">
        <values>
          <value>
            <val>58000</val>
          </value>
        </values>
      </ddeItem>
      <ddeItem name="@CTA[8-2-1-3-3-3332,F,6,#6]" advise="1">
        <values>
          <value t="nil">
            <val>1</val>
          </value>
        </values>
      </ddeItem>
      <ddeItem name="@CTA[8-2-1-3-3-3332,F,7,#6]" advise="1">
        <values>
          <value>
            <val>0</val>
          </value>
        </values>
      </ddeItem>
      <ddeItem name="@CTA[8-2-1-3-3-3332,F,8,#6]" advise="1">
        <values>
          <value t="nil">
            <val>1</val>
          </value>
        </values>
      </ddeItem>
      <ddeItem name="@CTA[8-2-1-3-3-3332,F,9,#6]" advise="1">
        <values>
          <value>
            <val>1430512</val>
          </value>
        </values>
      </ddeItem>
      <ddeItem name="@CTA[8-2-1-3-3-3341,F,1,#6]" advise="1">
        <values>
          <value>
            <val>0</val>
          </value>
        </values>
      </ddeItem>
      <ddeItem name="@CTA[8-2-1-3-3-3341,F,2,#6]" advise="1">
        <values>
          <value>
            <val>0</val>
          </value>
        </values>
      </ddeItem>
      <ddeItem name="@CTA[8-2-1-3-3-3341,F,3,#6]" advise="1">
        <values>
          <value>
            <val>120000</val>
          </value>
        </values>
      </ddeItem>
      <ddeItem name="@CTA[8-2-1-3-3-3341,F,4,#6]" advise="1">
        <values>
          <value t="nil">
            <val>1</val>
          </value>
        </values>
      </ddeItem>
      <ddeItem name="@CTA[8-2-1-3-3-3341,F,5,#6]" advise="1">
        <values>
          <value t="nil">
            <val>1</val>
          </value>
        </values>
      </ddeItem>
      <ddeItem name="@CTA[8-2-1-3-3-3341,F,6,#6]" advise="1">
        <values>
          <value t="nil">
            <val>1</val>
          </value>
        </values>
      </ddeItem>
      <ddeItem name="@CTA[8-2-1-3-3-3341,F,7,#6]" advise="1">
        <values>
          <value t="nil">
            <val>1</val>
          </value>
        </values>
      </ddeItem>
      <ddeItem name="@CTA[8-2-1-3-3-3341,F,8,#6]" advise="1">
        <values>
          <value>
            <val>4000</val>
          </value>
        </values>
      </ddeItem>
      <ddeItem name="@CTA[8-2-1-3-3-3341,F,9,#6]" advise="1">
        <values>
          <value t="nil">
            <val>1</val>
          </value>
        </values>
      </ddeItem>
      <ddeItem name="@CTA[8-2-1-3-3-3381,F,1,#6]" advise="1">
        <values>
          <value t="nil">
            <val>1</val>
          </value>
        </values>
      </ddeItem>
      <ddeItem name="@CTA[8-2-1-3-3-3381,F,2,#6]" advise="1">
        <values>
          <value t="nil">
            <val>1</val>
          </value>
        </values>
      </ddeItem>
      <ddeItem name="@CTA[8-2-1-3-3-3381,F,3,#6]" advise="1">
        <values>
          <value t="nil">
            <val>1</val>
          </value>
        </values>
      </ddeItem>
      <ddeItem name="@CTA[8-2-1-3-3-3381,F,4,#6]" advise="1">
        <values>
          <value t="nil">
            <val>1</val>
          </value>
        </values>
      </ddeItem>
      <ddeItem name="@CTA[8-2-1-3-3-3381,F,5,#6]" advise="1">
        <values>
          <value t="nil">
            <val>1</val>
          </value>
        </values>
      </ddeItem>
      <ddeItem name="@CTA[8-2-1-3-3-3381,F,6,#6]" advise="1">
        <values>
          <value t="nil">
            <val>1</val>
          </value>
        </values>
      </ddeItem>
      <ddeItem name="@CTA[8-2-1-3-3-3381,F,7,#6]" advise="1">
        <values>
          <value t="nil">
            <val>1</val>
          </value>
        </values>
      </ddeItem>
      <ddeItem name="@CTA[8-2-1-3-3-3381,F,8,#6]" advise="1">
        <values>
          <value t="nil">
            <val>1</val>
          </value>
        </values>
      </ddeItem>
      <ddeItem name="@CTA[8-2-1-3-3-3381,F,9,#6]" advise="1">
        <values>
          <value t="nil">
            <val>1</val>
          </value>
        </values>
      </ddeItem>
      <ddeItem name="@CTA[8-2-1-3-3-3391,F,1,#6]" advise="1">
        <values>
          <value>
            <val>240000</val>
          </value>
        </values>
      </ddeItem>
      <ddeItem name="@CTA[8-2-1-3-3-3391,F,2,#6]" advise="1">
        <values>
          <value t="nil">
            <val>1</val>
          </value>
        </values>
      </ddeItem>
      <ddeItem name="@CTA[8-2-1-3-3-3391,F,3,#6]" advise="1">
        <values>
          <value t="nil">
            <val>1</val>
          </value>
        </values>
      </ddeItem>
      <ddeItem name="@CTA[8-2-1-3-3-3391,F,4,#6]" advise="1">
        <values>
          <value t="nil">
            <val>1</val>
          </value>
        </values>
      </ddeItem>
      <ddeItem name="@CTA[8-2-1-3-3-3391,F,5,#6]" advise="1">
        <values>
          <value t="nil">
            <val>1</val>
          </value>
        </values>
      </ddeItem>
      <ddeItem name="@CTA[8-2-1-3-3-3391,F,6,#6]" advise="1">
        <values>
          <value t="nil">
            <val>1</val>
          </value>
        </values>
      </ddeItem>
      <ddeItem name="@CTA[8-2-1-3-3-3391,F,7,#6]" advise="1">
        <values>
          <value>
            <val>426000</val>
          </value>
        </values>
      </ddeItem>
      <ddeItem name="@CTA[8-2-1-3-3-3391,F,8,#6]" advise="1">
        <values>
          <value>
            <val>0</val>
          </value>
        </values>
      </ddeItem>
      <ddeItem name="@CTA[8-2-1-3-3-3391,F,9,#6]" advise="1">
        <values>
          <value t="nil">
            <val>1</val>
          </value>
        </values>
      </ddeItem>
      <ddeItem name="@CTA[8-2-1-3-4,F,#5]" advise="1">
        <values>
          <value>
            <val>549939</val>
          </value>
        </values>
      </ddeItem>
      <ddeItem name="@CTA[8-2-1-3-4-3411,F,1,#6]" advise="1">
        <values>
          <value>
            <val>0</val>
          </value>
        </values>
      </ddeItem>
      <ddeItem name="@CTA[8-2-1-3-4-3411,F,2,#6]" advise="1">
        <values>
          <value>
            <val>0</val>
          </value>
        </values>
      </ddeItem>
      <ddeItem name="@CTA[8-2-1-3-4-3411,F,3,#6]" advise="1">
        <values>
          <value>
            <val>0</val>
          </value>
        </values>
      </ddeItem>
      <ddeItem name="@CTA[8-2-1-3-4-3411,F,4,#6]" advise="1">
        <values>
          <value>
            <val>72856</val>
          </value>
        </values>
      </ddeItem>
      <ddeItem name="@CTA[8-2-1-3-4-3411,F,5,#6]" advise="1">
        <values>
          <value>
            <val>0</val>
          </value>
        </values>
      </ddeItem>
      <ddeItem name="@CTA[8-2-1-3-4-3411,F,6,#6]" advise="1">
        <values>
          <value>
            <val>0</val>
          </value>
        </values>
      </ddeItem>
      <ddeItem name="@CTA[8-2-1-3-4-3411,F,7,#6]" advise="1">
        <values>
          <value>
            <val>0</val>
          </value>
        </values>
      </ddeItem>
      <ddeItem name="@CTA[8-2-1-3-4-3411,F,8,#6]" advise="1">
        <values>
          <value t="nil">
            <val>1</val>
          </value>
        </values>
      </ddeItem>
      <ddeItem name="@CTA[8-2-1-3-4-3411,F,9,#6]" advise="1">
        <values>
          <value t="nil">
            <val>1</val>
          </value>
        </values>
      </ddeItem>
      <ddeItem name="@CTA[8-2-1-3-4-3431,F,1,#6]" advise="1">
        <values>
          <value t="nil">
            <val>1</val>
          </value>
        </values>
      </ddeItem>
      <ddeItem name="@CTA[8-2-1-3-4-3431,F,2,#6]" advise="1">
        <values>
          <value t="nil">
            <val>1</val>
          </value>
        </values>
      </ddeItem>
      <ddeItem name="@CTA[8-2-1-3-4-3431,F,3,#6]" advise="1">
        <values>
          <value t="nil">
            <val>1</val>
          </value>
        </values>
      </ddeItem>
      <ddeItem name="@CTA[8-2-1-3-4-3431,F,4,#6]" advise="1">
        <values>
          <value>
            <val>290704</val>
          </value>
        </values>
      </ddeItem>
      <ddeItem name="@CTA[8-2-1-3-4-3431,F,5,#6]" advise="1">
        <values>
          <value t="nil">
            <val>1</val>
          </value>
        </values>
      </ddeItem>
      <ddeItem name="@CTA[8-2-1-3-4-3431,F,6,#6]" advise="1">
        <values>
          <value t="nil">
            <val>1</val>
          </value>
        </values>
      </ddeItem>
      <ddeItem name="@CTA[8-2-1-3-4-3431,F,7,#6]" advise="1">
        <values>
          <value t="nil">
            <val>1</val>
          </value>
        </values>
      </ddeItem>
      <ddeItem name="@CTA[8-2-1-3-4-3431,F,8,#6]" advise="1">
        <values>
          <value t="nil">
            <val>1</val>
          </value>
        </values>
      </ddeItem>
      <ddeItem name="@CTA[8-2-1-3-4-3431,F,9,#6]" advise="1">
        <values>
          <value t="nil">
            <val>1</val>
          </value>
        </values>
      </ddeItem>
      <ddeItem name="@CTA[8-2-1-3-4-3451,F,1,#6]" advise="1">
        <values>
          <value>
            <val>99067</val>
          </value>
        </values>
      </ddeItem>
      <ddeItem name="@CTA[8-2-1-3-4-3451,F,2,#6]" advise="1">
        <values>
          <value>
            <val>4828</val>
          </value>
        </values>
      </ddeItem>
      <ddeItem name="@CTA[8-2-1-3-4-3451,F,3,#6]" advise="1">
        <values>
          <value>
            <val>1746</val>
          </value>
        </values>
      </ddeItem>
      <ddeItem name="@CTA[8-2-1-3-4-3451,F,4,#6]" advise="1">
        <values>
          <value>
            <val>815</val>
          </value>
        </values>
      </ddeItem>
      <ddeItem name="@CTA[8-2-1-3-4-3451,F,5,#6]" advise="1">
        <values>
          <value>
            <val>8314</val>
          </value>
        </values>
      </ddeItem>
      <ddeItem name="@CTA[8-2-1-3-4-3451,F,6,#6]" advise="1">
        <values>
          <value>
            <val>233</val>
          </value>
        </values>
      </ddeItem>
      <ddeItem name="@CTA[8-2-1-3-4-3451,F,7,#6]" advise="1">
        <values>
          <value>
            <val>37814</val>
          </value>
        </values>
      </ddeItem>
      <ddeItem name="@CTA[8-2-1-3-4-3451,F,8,#6]" advise="1">
        <values>
          <value>
            <val>2920</val>
          </value>
        </values>
      </ddeItem>
      <ddeItem name="@CTA[8-2-1-3-4-3451,F,9,#6]" advise="1">
        <values>
          <value>
            <val>7866</val>
          </value>
        </values>
      </ddeItem>
      <ddeItem name="@CTA[8-2-1-3-4-3471,F,1,#6]" advise="1">
        <values>
          <value>
            <val>0</val>
          </value>
        </values>
      </ddeItem>
      <ddeItem name="@CTA[8-2-1-3-4-3471,F,2,#6]" advise="1">
        <values>
          <value>
            <val>600</val>
          </value>
        </values>
      </ddeItem>
      <ddeItem name="@CTA[8-2-1-3-4-3471,F,3,#6]" advise="1">
        <values>
          <value>
            <val>400</val>
          </value>
        </values>
      </ddeItem>
      <ddeItem name="@CTA[8-2-1-3-4-3471,F,4,#6]" advise="1">
        <values>
          <value>
            <val>400</val>
          </value>
        </values>
      </ddeItem>
      <ddeItem name="@CTA[8-2-1-3-4-3471,F,5,#6]" advise="1">
        <values>
          <value>
            <val>200</val>
          </value>
        </values>
      </ddeItem>
      <ddeItem name="@CTA[8-2-1-3-4-3471,F,6,#6]" advise="1">
        <values>
          <value>
            <val>2000</val>
          </value>
        </values>
      </ddeItem>
      <ddeItem name="@CTA[8-2-1-3-4-3471,F,7,#6]" advise="1">
        <values>
          <value>
            <val>0</val>
          </value>
        </values>
      </ddeItem>
      <ddeItem name="@CTA[8-2-1-3-4-3471,F,8,#6]" advise="1">
        <values>
          <value t="nil">
            <val>1</val>
          </value>
        </values>
      </ddeItem>
      <ddeItem name="@CTA[8-2-1-3-4-3471,F,9,#6]" advise="1">
        <values>
          <value t="nil">
            <val>1</val>
          </value>
        </values>
      </ddeItem>
      <ddeItem name="@CTA[8-2-1-3-4-3491,F,1,#6]" advise="1">
        <values>
          <value>
            <val>7188</val>
          </value>
        </values>
      </ddeItem>
      <ddeItem name="@CTA[8-2-1-3-4-3491,F,2,#6]" advise="1">
        <values>
          <value>
            <val>1164</val>
          </value>
        </values>
      </ddeItem>
      <ddeItem name="@CTA[8-2-1-3-4-3491,F,3,#6]" advise="1">
        <values>
          <value>
            <val>2196</val>
          </value>
        </values>
      </ddeItem>
      <ddeItem name="@CTA[8-2-1-3-4-3491,F,4,#6]" advise="1">
        <values>
          <value>
            <val>1524</val>
          </value>
        </values>
      </ddeItem>
      <ddeItem name="@CTA[8-2-1-3-4-3491,F,5,#6]" advise="1">
        <values>
          <value>
            <val>2208</val>
          </value>
        </values>
      </ddeItem>
      <ddeItem name="@CTA[8-2-1-3-4-3491,F,6,#6]" advise="1">
        <values>
          <value>
            <val>600</val>
          </value>
        </values>
      </ddeItem>
      <ddeItem name="@CTA[8-2-1-3-4-3491,F,7,#6]" advise="1">
        <values>
          <value>
            <val>2028</val>
          </value>
        </values>
      </ddeItem>
      <ddeItem name="@CTA[8-2-1-3-4-3491,F,8,#6]" advise="1">
        <values>
          <value>
            <val>720</val>
          </value>
        </values>
      </ddeItem>
      <ddeItem name="@CTA[8-2-1-3-4-3491,F,9,#6]" advise="1">
        <values>
          <value>
            <val>1548</val>
          </value>
        </values>
      </ddeItem>
      <ddeItem name="@CTA[8-2-1-3-5,F,#5]" advise="1">
        <values>
          <value>
            <val>2142328</val>
          </value>
        </values>
      </ddeItem>
      <ddeItem name="@CTA[8-2-1-3-5-3511,F,1,#6]" advise="1">
        <values>
          <value t="nil">
            <val>1</val>
          </value>
        </values>
      </ddeItem>
      <ddeItem name="@CTA[8-2-1-3-5-3511,F,2,#6]" advise="1">
        <values>
          <value>
            <val>0</val>
          </value>
        </values>
      </ddeItem>
      <ddeItem name="@CTA[8-2-1-3-5-3511,F,3,#6]" advise="1">
        <values>
          <value t="nil">
            <val>1</val>
          </value>
        </values>
      </ddeItem>
      <ddeItem name="@CTA[8-2-1-3-5-3511,F,4,#6]" advise="1">
        <values>
          <value>
            <val>0</val>
          </value>
        </values>
      </ddeItem>
      <ddeItem name="@CTA[8-2-1-3-5-3511,F,5,#6]" advise="1">
        <values>
          <value>
            <val>0</val>
          </value>
        </values>
      </ddeItem>
      <ddeItem name="@CTA[8-2-1-3-5-3511,F,6,#6]" advise="1">
        <values>
          <value t="nil">
            <val>1</val>
          </value>
        </values>
      </ddeItem>
      <ddeItem name="@CTA[8-2-1-3-5-3511,F,7,#6]" advise="1">
        <values>
          <value t="nil">
            <val>1</val>
          </value>
        </values>
      </ddeItem>
      <ddeItem name="@CTA[8-2-1-3-5-3511,F,8,#6]" advise="1">
        <values>
          <value t="nil">
            <val>1</val>
          </value>
        </values>
      </ddeItem>
      <ddeItem name="@CTA[8-2-1-3-5-3511,F,9,#6]" advise="1">
        <values>
          <value t="nil">
            <val>1</val>
          </value>
        </values>
      </ddeItem>
      <ddeItem name="@CTA[8-2-1-3-5-3521,F,1,#6]" advise="1">
        <values>
          <value t="nil">
            <val>1</val>
          </value>
        </values>
      </ddeItem>
      <ddeItem name="@CTA[8-2-1-3-5-3521,F,2,#6]" advise="1">
        <values>
          <value t="nil">
            <val>1</val>
          </value>
        </values>
      </ddeItem>
      <ddeItem name="@CTA[8-2-1-3-5-3521,F,3,#6]" advise="1">
        <values>
          <value t="nil">
            <val>1</val>
          </value>
        </values>
      </ddeItem>
      <ddeItem name="@CTA[8-2-1-3-5-3521,F,4,#6]" advise="1">
        <values>
          <value t="nil">
            <val>1</val>
          </value>
        </values>
      </ddeItem>
      <ddeItem name="@CTA[8-2-1-3-5-3521,F,5,#6]" advise="1">
        <values>
          <value t="nil">
            <val>1</val>
          </value>
        </values>
      </ddeItem>
      <ddeItem name="@CTA[8-2-1-3-5-3521,F,6,#6]" advise="1">
        <values>
          <value t="nil">
            <val>1</val>
          </value>
        </values>
      </ddeItem>
      <ddeItem name="@CTA[8-2-1-3-5-3521,F,7,#6]" advise="1">
        <values>
          <value t="nil">
            <val>1</val>
          </value>
        </values>
      </ddeItem>
      <ddeItem name="@CTA[8-2-1-3-5-3521,F,8,#6]" advise="1">
        <values>
          <value t="nil">
            <val>1</val>
          </value>
        </values>
      </ddeItem>
      <ddeItem name="@CTA[8-2-1-3-5-3521,F,9,#6]" advise="1">
        <values>
          <value t="nil">
            <val>1</val>
          </value>
        </values>
      </ddeItem>
      <ddeItem name="@CTA[8-2-1-3-5-3531,F,1,#6]" advise="1">
        <values>
          <value t="nil">
            <val>1</val>
          </value>
        </values>
      </ddeItem>
      <ddeItem name="@CTA[8-2-1-3-5-3531,F,2,#6]" advise="1">
        <values>
          <value t="nil">
            <val>1</val>
          </value>
        </values>
      </ddeItem>
      <ddeItem name="@CTA[8-2-1-3-5-3531,F,3,#6]" advise="1">
        <values>
          <value t="nil">
            <val>1</val>
          </value>
        </values>
      </ddeItem>
      <ddeItem name="@CTA[8-2-1-3-5-3531,F,4,#6]" advise="1">
        <values>
          <value t="nil">
            <val>1</val>
          </value>
        </values>
      </ddeItem>
      <ddeItem name="@CTA[8-2-1-3-5-3531,F,5,#6]" advise="1">
        <values>
          <value t="nil">
            <val>1</val>
          </value>
        </values>
      </ddeItem>
      <ddeItem name="@CTA[8-2-1-3-5-3531,F,6,#6]" advise="1">
        <values>
          <value t="nil">
            <val>1</val>
          </value>
        </values>
      </ddeItem>
      <ddeItem name="@CTA[8-2-1-3-5-3531,F,7,#6]" advise="1">
        <values>
          <value t="nil">
            <val>1</val>
          </value>
        </values>
      </ddeItem>
      <ddeItem name="@CTA[8-2-1-3-5-3531,F,8,#6]" advise="1">
        <values>
          <value t="nil">
            <val>1</val>
          </value>
        </values>
      </ddeItem>
      <ddeItem name="@CTA[8-2-1-3-5-3531,F,9,#6]" advise="1">
        <values>
          <value t="nil">
            <val>1</val>
          </value>
        </values>
      </ddeItem>
      <ddeItem name="@CTA[8-2-1-3-5-3551,F,1,#6]" advise="1">
        <values>
          <value>
            <val>245294</val>
          </value>
        </values>
      </ddeItem>
      <ddeItem name="@CTA[8-2-1-3-5-3551,F,2,#6]" advise="1">
        <values>
          <value>
            <val>13000</val>
          </value>
        </values>
      </ddeItem>
      <ddeItem name="@CTA[8-2-1-3-5-3551,F,3,#6]" advise="1">
        <values>
          <value>
            <val>0</val>
          </value>
        </values>
      </ddeItem>
      <ddeItem name="@CTA[8-2-1-3-5-3551,F,4,#6]" advise="1">
        <values>
          <value t="nil">
            <val>1</val>
          </value>
        </values>
      </ddeItem>
      <ddeItem name="@CTA[8-2-1-3-5-3551,F,5,#6]" advise="1">
        <values>
          <value>
            <val>6975</val>
          </value>
        </values>
      </ddeItem>
      <ddeItem name="@CTA[8-2-1-3-5-3551,F,6,#6]" advise="1">
        <values>
          <value t="nil">
            <val>1</val>
          </value>
        </values>
      </ddeItem>
      <ddeItem name="@CTA[8-2-1-3-5-3551,F,7,#6]" advise="1">
        <values>
          <value>
            <val>12260</val>
          </value>
        </values>
      </ddeItem>
      <ddeItem name="@CTA[8-2-1-3-5-3551,F,8,#6]" advise="1">
        <values>
          <value>
            <val>18720</val>
          </value>
        </values>
      </ddeItem>
      <ddeItem name="@CTA[8-2-1-3-5-3551,F,9,#6]" advise="1">
        <values>
          <value>
            <val>5400</val>
          </value>
        </values>
      </ddeItem>
      <ddeItem name="@CTA[8-2-1-3-5-3571,F,1,#6]" advise="1">
        <values>
          <value>
            <val>1565379</val>
          </value>
        </values>
      </ddeItem>
      <ddeItem name="@CTA[8-2-1-3-5-3571,F,2,#6]" advise="1">
        <values>
          <value t="nil">
            <val>1</val>
          </value>
        </values>
      </ddeItem>
      <ddeItem name="@CTA[8-2-1-3-5-3571,F,3,#6]" advise="1">
        <values>
          <value t="nil">
            <val>1</val>
          </value>
        </values>
      </ddeItem>
      <ddeItem name="@CTA[8-2-1-3-5-3571,F,4,#6]" advise="1">
        <values>
          <value t="nil">
            <val>1</val>
          </value>
        </values>
      </ddeItem>
      <ddeItem name="@CTA[8-2-1-3-5-3571,F,5,#6]" advise="1">
        <values>
          <value>
            <val>0</val>
          </value>
        </values>
      </ddeItem>
      <ddeItem name="@CTA[8-2-1-3-5-3571,F,6,#6]" advise="1">
        <values>
          <value>
            <val>1500</val>
          </value>
        </values>
      </ddeItem>
      <ddeItem name="@CTA[8-2-1-3-5-3571,F,7,#6]" advise="1">
        <values>
          <value>
            <val>0</val>
          </value>
        </values>
      </ddeItem>
      <ddeItem name="@CTA[8-2-1-3-5-3571,F,8,#6]" advise="1">
        <values>
          <value>
            <val>0</val>
          </value>
        </values>
      </ddeItem>
      <ddeItem name="@CTA[8-2-1-3-5-3571,F,9,#6]" advise="1">
        <values>
          <value t="nil">
            <val>1</val>
          </value>
        </values>
      </ddeItem>
      <ddeItem name="@CTA[8-2-1-3-5-3572,F,1,#6]" advise="1">
        <values>
          <value t="nil">
            <val>1</val>
          </value>
        </values>
      </ddeItem>
      <ddeItem name="@CTA[8-2-1-3-5-3572,F,2,#6]" advise="1">
        <values>
          <value t="nil">
            <val>1</val>
          </value>
        </values>
      </ddeItem>
      <ddeItem name="@CTA[8-2-1-3-5-3572,F,3,#6]" advise="1">
        <values>
          <value t="nil">
            <val>1</val>
          </value>
        </values>
      </ddeItem>
      <ddeItem name="@CTA[8-2-1-3-5-3572,F,4,#6]" advise="1">
        <values>
          <value t="nil">
            <val>1</val>
          </value>
        </values>
      </ddeItem>
      <ddeItem name="@CTA[8-2-1-3-5-3572,F,5,#6]" advise="1">
        <values>
          <value t="nil">
            <val>1</val>
          </value>
        </values>
      </ddeItem>
      <ddeItem name="@CTA[8-2-1-3-5-3572,F,6,#6]" advise="1">
        <values>
          <value t="nil">
            <val>1</val>
          </value>
        </values>
      </ddeItem>
      <ddeItem name="@CTA[8-2-1-3-5-3572,F,7,#6]" advise="1">
        <values>
          <value>
            <val>62800</val>
          </value>
        </values>
      </ddeItem>
      <ddeItem name="@CTA[8-2-1-3-5-3572,F,8,#6]" advise="1">
        <values>
          <value t="nil">
            <val>1</val>
          </value>
        </values>
      </ddeItem>
      <ddeItem name="@CTA[8-2-1-3-5-3572,F,9,#6]" advise="1">
        <values>
          <value t="nil">
            <val>1</val>
          </value>
        </values>
      </ddeItem>
      <ddeItem name="@CTA[8-2-1-3-5-3573,F,1,#6]" advise="1">
        <values>
          <value t="nil">
            <val>1</val>
          </value>
        </values>
      </ddeItem>
      <ddeItem name="@CTA[8-2-1-3-5-3573,F,2,#6]" advise="1">
        <values>
          <value t="nil">
            <val>1</val>
          </value>
        </values>
      </ddeItem>
      <ddeItem name="@CTA[8-2-1-3-5-3573,F,3,#6]" advise="1">
        <values>
          <value t="nil">
            <val>1</val>
          </value>
        </values>
      </ddeItem>
      <ddeItem name="@CTA[8-2-1-3-5-3573,F,4,#6]" advise="1">
        <values>
          <value t="nil">
            <val>1</val>
          </value>
        </values>
      </ddeItem>
      <ddeItem name="@CTA[8-2-1-3-5-3573,F,5,#6]" advise="1">
        <values>
          <value t="nil">
            <val>1</val>
          </value>
        </values>
      </ddeItem>
      <ddeItem name="@CTA[8-2-1-3-5-3573,F,6,#6]" advise="1">
        <values>
          <value t="nil">
            <val>1</val>
          </value>
        </values>
      </ddeItem>
      <ddeItem name="@CTA[8-2-1-3-5-3573,F,7,#6]" advise="1">
        <values>
          <value>
            <val>92100</val>
          </value>
        </values>
      </ddeItem>
      <ddeItem name="@CTA[8-2-1-3-5-3573,F,8,#6]" advise="1">
        <values>
          <value t="nil">
            <val>1</val>
          </value>
        </values>
      </ddeItem>
      <ddeItem name="@CTA[8-2-1-3-5-3573,F,9,#6]" advise="1">
        <values>
          <value t="nil">
            <val>1</val>
          </value>
        </values>
      </ddeItem>
      <ddeItem name="@CTA[8-2-1-3-5-3574,F,1,#6]" advise="1">
        <values>
          <value t="nil">
            <val>1</val>
          </value>
        </values>
      </ddeItem>
      <ddeItem name="@CTA[8-2-1-3-5-3574,F,2,#6]" advise="1">
        <values>
          <value t="nil">
            <val>1</val>
          </value>
        </values>
      </ddeItem>
      <ddeItem name="@CTA[8-2-1-3-5-3574,F,3,#6]" advise="1">
        <values>
          <value t="nil">
            <val>1</val>
          </value>
        </values>
      </ddeItem>
      <ddeItem name="@CTA[8-2-1-3-5-3574,F,4,#6]" advise="1">
        <values>
          <value t="nil">
            <val>1</val>
          </value>
        </values>
      </ddeItem>
      <ddeItem name="@CTA[8-2-1-3-5-3574,F,5,#6]" advise="1">
        <values>
          <value t="nil">
            <val>1</val>
          </value>
        </values>
      </ddeItem>
      <ddeItem name="@CTA[8-2-1-3-5-3574,F,6,#6]" advise="1">
        <values>
          <value t="nil">
            <val>1</val>
          </value>
        </values>
      </ddeItem>
      <ddeItem name="@CTA[8-2-1-3-5-3574,F,7,#6]" advise="1">
        <values>
          <value>
            <val>39600</val>
          </value>
        </values>
      </ddeItem>
      <ddeItem name="@CTA[8-2-1-3-5-3574,F,8,#6]" advise="1">
        <values>
          <value t="nil">
            <val>1</val>
          </value>
        </values>
      </ddeItem>
      <ddeItem name="@CTA[8-2-1-3-5-3574,F,9,#6]" advise="1">
        <values>
          <value t="nil">
            <val>1</val>
          </value>
        </values>
      </ddeItem>
      <ddeItem name="@CTA[8-2-1-3-5-3575,F,1,#6]" advise="1">
        <values>
          <value t="nil">
            <val>1</val>
          </value>
        </values>
      </ddeItem>
      <ddeItem name="@CTA[8-2-1-3-5-3575,F,2,#6]" advise="1">
        <values>
          <value t="nil">
            <val>1</val>
          </value>
        </values>
      </ddeItem>
      <ddeItem name="@CTA[8-2-1-3-5-3575,F,3,#6]" advise="1">
        <values>
          <value t="nil">
            <val>1</val>
          </value>
        </values>
      </ddeItem>
      <ddeItem name="@CTA[8-2-1-3-5-3575,F,4,#6]" advise="1">
        <values>
          <value t="nil">
            <val>1</val>
          </value>
        </values>
      </ddeItem>
      <ddeItem name="@CTA[8-2-1-3-5-3575,F,5,#6]" advise="1">
        <values>
          <value t="nil">
            <val>1</val>
          </value>
        </values>
      </ddeItem>
      <ddeItem name="@CTA[8-2-1-3-5-3575,F,6,#6]" advise="1">
        <values>
          <value t="nil">
            <val>1</val>
          </value>
        </values>
      </ddeItem>
      <ddeItem name="@CTA[8-2-1-3-5-3575,F,7,#6]" advise="1">
        <values>
          <value>
            <val>40600</val>
          </value>
        </values>
      </ddeItem>
      <ddeItem name="@CTA[8-2-1-3-5-3575,F,8,#6]" advise="1">
        <values>
          <value t="nil">
            <val>1</val>
          </value>
        </values>
      </ddeItem>
      <ddeItem name="@CTA[8-2-1-3-5-3575,F,9,#6]" advise="1">
        <values>
          <value t="nil">
            <val>1</val>
          </value>
        </values>
      </ddeItem>
      <ddeItem name="@CTA[8-2-1-3-5-3576,F,1,#6]" advise="1">
        <values>
          <value t="nil">
            <val>1</val>
          </value>
        </values>
      </ddeItem>
      <ddeItem name="@CTA[8-2-1-3-5-3576,F,2,#6]" advise="1">
        <values>
          <value t="nil">
            <val>1</val>
          </value>
        </values>
      </ddeItem>
      <ddeItem name="@CTA[8-2-1-3-5-3576,F,3,#6]" advise="1">
        <values>
          <value t="nil">
            <val>1</val>
          </value>
        </values>
      </ddeItem>
      <ddeItem name="@CTA[8-2-1-3-5-3576,F,4,#6]" advise="1">
        <values>
          <value t="nil">
            <val>1</val>
          </value>
        </values>
      </ddeItem>
      <ddeItem name="@CTA[8-2-1-3-5-3576,F,5,#6]" advise="1">
        <values>
          <value t="nil">
            <val>1</val>
          </value>
        </values>
      </ddeItem>
      <ddeItem name="@CTA[8-2-1-3-5-3576,F,6,#6]" advise="1">
        <values>
          <value t="nil">
            <val>1</val>
          </value>
        </values>
      </ddeItem>
      <ddeItem name="@CTA[8-2-1-3-5-3576,F,7,#6]" advise="1">
        <values>
          <value>
            <val>31600</val>
          </value>
        </values>
      </ddeItem>
      <ddeItem name="@CTA[8-2-1-3-5-3576,F,8,#6]" advise="1">
        <values>
          <value t="nil">
            <val>1</val>
          </value>
        </values>
      </ddeItem>
      <ddeItem name="@CTA[8-2-1-3-5-3576,F,9,#6]" advise="1">
        <values>
          <value t="nil">
            <val>1</val>
          </value>
        </values>
      </ddeItem>
      <ddeItem name="@CTA[8-2-1-3-5-3577,F,1,#6]" advise="1">
        <values>
          <value t="nil">
            <val>1</val>
          </value>
        </values>
      </ddeItem>
      <ddeItem name="@CTA[8-2-1-3-5-3577,F,2,#6]" advise="1">
        <values>
          <value t="nil">
            <val>1</val>
          </value>
        </values>
      </ddeItem>
      <ddeItem name="@CTA[8-2-1-3-5-3577,F,3,#6]" advise="1">
        <values>
          <value t="nil">
            <val>1</val>
          </value>
        </values>
      </ddeItem>
      <ddeItem name="@CTA[8-2-1-3-5-3577,F,4,#6]" advise="1">
        <values>
          <value t="nil">
            <val>1</val>
          </value>
        </values>
      </ddeItem>
      <ddeItem name="@CTA[8-2-1-3-5-3577,F,5,#6]" advise="1">
        <values>
          <value t="nil">
            <val>1</val>
          </value>
        </values>
      </ddeItem>
      <ddeItem name="@CTA[8-2-1-3-5-3577,F,6,#6]" advise="1">
        <values>
          <value t="nil">
            <val>1</val>
          </value>
        </values>
      </ddeItem>
      <ddeItem name="@CTA[8-2-1-3-5-3577,F,7,#6]" advise="1">
        <values>
          <value>
            <val>7100</val>
          </value>
        </values>
      </ddeItem>
      <ddeItem name="@CTA[8-2-1-3-5-3577,F,8,#6]" advise="1">
        <values>
          <value t="nil">
            <val>1</val>
          </value>
        </values>
      </ddeItem>
      <ddeItem name="@CTA[8-2-1-3-5-3577,F,9,#6]" advise="1">
        <values>
          <value t="nil">
            <val>1</val>
          </value>
        </values>
      </ddeItem>
      <ddeItem name="@CTA[8-2-1-3-6,F,#5]" advise="1">
        <values>
          <value>
            <val>151000</val>
          </value>
        </values>
      </ddeItem>
      <ddeItem name="@CTA[8-2-1-3-6-3611,F,1,#6]" advise="1">
        <values>
          <value t="nil">
            <val>1</val>
          </value>
        </values>
      </ddeItem>
      <ddeItem name="@CTA[8-2-1-3-6-3611,F,2,#6]" advise="1">
        <values>
          <value t="nil">
            <val>1</val>
          </value>
        </values>
      </ddeItem>
      <ddeItem name="@CTA[8-2-1-3-6-3611,F,3,#6]" advise="1">
        <values>
          <value t="nil">
            <val>1</val>
          </value>
        </values>
      </ddeItem>
      <ddeItem name="@CTA[8-2-1-3-6-3611,F,4,#6]" advise="1">
        <values>
          <value t="nil">
            <val>1</val>
          </value>
        </values>
      </ddeItem>
      <ddeItem name="@CTA[8-2-1-3-6-3611,F,5,#6]" advise="1">
        <values>
          <value t="nil">
            <val>1</val>
          </value>
        </values>
      </ddeItem>
      <ddeItem name="@CTA[8-2-1-3-6-3611,F,6,#6]" advise="1">
        <values>
          <value t="nil">
            <val>1</val>
          </value>
        </values>
      </ddeItem>
      <ddeItem name="@CTA[8-2-1-3-6-3611,F,7,#6]" advise="1">
        <values>
          <value t="nil">
            <val>1</val>
          </value>
        </values>
      </ddeItem>
      <ddeItem name="@CTA[8-2-1-3-6-3611,F,8,#6]" advise="1">
        <values>
          <value>
            <val>151000</val>
          </value>
        </values>
      </ddeItem>
      <ddeItem name="@CTA[8-2-1-3-6-3611,F,9,#6]" advise="1">
        <values>
          <value>
            <val>0</val>
          </value>
        </values>
      </ddeItem>
      <ddeItem name="@CTA[8-2-1-3-7,F,#5]" advise="1">
        <values>
          <value>
            <val>39600</val>
          </value>
        </values>
      </ddeItem>
      <ddeItem name="@CTA[8-2-1-3-7-3721,F,1,#6]" advise="1">
        <values>
          <value>
            <val>900</val>
          </value>
        </values>
      </ddeItem>
      <ddeItem name="@CTA[8-2-1-3-7-3721,F,2,#6]" advise="1">
        <values>
          <value>
            <val>5400</val>
          </value>
        </values>
      </ddeItem>
      <ddeItem name="@CTA[8-2-1-3-7-3721,F,3,#6]" advise="1">
        <values>
          <value>
            <val>900</val>
          </value>
        </values>
      </ddeItem>
      <ddeItem name="@CTA[8-2-1-3-7-3721,F,4,#6]" advise="1">
        <values>
          <value>
            <val>900</val>
          </value>
        </values>
      </ddeItem>
      <ddeItem name="@CTA[8-2-1-3-7-3721,F,5,#6]" advise="1">
        <values>
          <value>
            <val>900</val>
          </value>
        </values>
      </ddeItem>
      <ddeItem name="@CTA[8-2-1-3-7-3721,F,6,#6]" advise="1">
        <values>
          <value>
            <val>900</val>
          </value>
        </values>
      </ddeItem>
      <ddeItem name="@CTA[8-2-1-3-7-3721,F,7,#6]" advise="1">
        <values>
          <value>
            <val>900</val>
          </value>
        </values>
      </ddeItem>
      <ddeItem name="@CTA[8-2-1-3-7-3721,F,8,#6]" advise="1">
        <values>
          <value>
            <val>900</val>
          </value>
        </values>
      </ddeItem>
      <ddeItem name="@CTA[8-2-1-3-7-3721,F,9,#6]" advise="1">
        <values>
          <value>
            <val>900</val>
          </value>
        </values>
      </ddeItem>
      <ddeItem name="@CTA[8-2-1-3-7-3722,F,1,#6]" advise="1">
        <values>
          <value t="nil">
            <val>1</val>
          </value>
        </values>
      </ddeItem>
      <ddeItem name="@CTA[8-2-1-3-7-3722,F,2,#6]" advise="1">
        <values>
          <value>
            <val>0</val>
          </value>
        </values>
      </ddeItem>
      <ddeItem name="@CTA[8-2-1-3-7-3722,F,3,#6]" advise="1">
        <values>
          <value t="nil">
            <val>1</val>
          </value>
        </values>
      </ddeItem>
      <ddeItem name="@CTA[8-2-1-3-7-3722,F,4,#6]" advise="1">
        <values>
          <value t="nil">
            <val>1</val>
          </value>
        </values>
      </ddeItem>
      <ddeItem name="@CTA[8-2-1-3-7-3722,F,5,#6]" advise="1">
        <values>
          <value t="nil">
            <val>1</val>
          </value>
        </values>
      </ddeItem>
      <ddeItem name="@CTA[8-2-1-3-7-3722,F,6,#6]" advise="1">
        <values>
          <value t="nil">
            <val>1</val>
          </value>
        </values>
      </ddeItem>
      <ddeItem name="@CTA[8-2-1-3-7-3722,F,7,#6]" advise="1">
        <values>
          <value t="nil">
            <val>1</val>
          </value>
        </values>
      </ddeItem>
      <ddeItem name="@CTA[8-2-1-3-7-3722,F,8,#6]" advise="1">
        <values>
          <value t="nil">
            <val>1</val>
          </value>
        </values>
      </ddeItem>
      <ddeItem name="@CTA[8-2-1-3-7-3722,F,9,#6]" advise="1">
        <values>
          <value t="nil">
            <val>1</val>
          </value>
        </values>
      </ddeItem>
      <ddeItem name="@CTA[8-2-1-3-7-3751,F,1,#6]" advise="1">
        <values>
          <value>
            <val>1800</val>
          </value>
        </values>
      </ddeItem>
      <ddeItem name="@CTA[8-2-1-3-7-3751,F,2,#6]" advise="1">
        <values>
          <value>
            <val>10800</val>
          </value>
        </values>
      </ddeItem>
      <ddeItem name="@CTA[8-2-1-3-7-3751,F,3,#6]" advise="1">
        <values>
          <value>
            <val>1800</val>
          </value>
        </values>
      </ddeItem>
      <ddeItem name="@CTA[8-2-1-3-7-3751,F,4,#6]" advise="1">
        <values>
          <value>
            <val>1800</val>
          </value>
        </values>
      </ddeItem>
      <ddeItem name="@CTA[8-2-1-3-7-3751,F,5,#6]" advise="1">
        <values>
          <value>
            <val>1800</val>
          </value>
        </values>
      </ddeItem>
      <ddeItem name="@CTA[8-2-1-3-7-3751,F,6,#6]" advise="1">
        <values>
          <value>
            <val>1800</val>
          </value>
        </values>
      </ddeItem>
      <ddeItem name="@CTA[8-2-1-3-7-3751,F,7,#6]" advise="1">
        <values>
          <value>
            <val>1800</val>
          </value>
        </values>
      </ddeItem>
      <ddeItem name="@CTA[8-2-1-3-7-3751,F,8,#6]" advise="1">
        <values>
          <value>
            <val>3600</val>
          </value>
        </values>
      </ddeItem>
      <ddeItem name="@CTA[8-2-1-3-7-3751,F,9,#6]" advise="1">
        <values>
          <value>
            <val>1800</val>
          </value>
        </values>
      </ddeItem>
      <ddeItem name="@CTA[8-2-1-3-8,F,#5]" advise="1">
        <values>
          <value>
            <val>178000</val>
          </value>
        </values>
      </ddeItem>
      <ddeItem name="@CTA[8-2-1-3-8-3821,F,1,#6]" advise="1">
        <values>
          <value t="nil">
            <val>1</val>
          </value>
        </values>
      </ddeItem>
      <ddeItem name="@CTA[8-2-1-3-8-3821,F,2,#6]" advise="1">
        <values>
          <value t="nil">
            <val>1</val>
          </value>
        </values>
      </ddeItem>
      <ddeItem name="@CTA[8-2-1-3-8-3821,F,3,#6]" advise="1">
        <values>
          <value t="nil">
            <val>1</val>
          </value>
        </values>
      </ddeItem>
      <ddeItem name="@CTA[8-2-1-3-8-3821,F,4,#6]" advise="1">
        <values>
          <value t="nil">
            <val>1</val>
          </value>
        </values>
      </ddeItem>
      <ddeItem name="@CTA[8-2-1-3-8-3821,F,5,#6]" advise="1">
        <values>
          <value t="nil">
            <val>1</val>
          </value>
        </values>
      </ddeItem>
      <ddeItem name="@CTA[8-2-1-3-8-3821,F,6,#6]" advise="1">
        <values>
          <value t="nil">
            <val>1</val>
          </value>
        </values>
      </ddeItem>
      <ddeItem name="@CTA[8-2-1-3-8-3821,F,7,#6]" advise="1">
        <values>
          <value t="nil">
            <val>1</val>
          </value>
        </values>
      </ddeItem>
      <ddeItem name="@CTA[8-2-1-3-8-3821,F,8,#6]" advise="1">
        <values>
          <value>
            <val>48000</val>
          </value>
        </values>
      </ddeItem>
      <ddeItem name="@CTA[8-2-1-3-8-3821,F,9,#6]" advise="1">
        <values>
          <value>
            <val>0</val>
          </value>
        </values>
      </ddeItem>
      <ddeItem name="@CTA[8-2-1-3-8-3822,F,1,#6]" advise="1">
        <values>
          <value t="nil">
            <val>1</val>
          </value>
        </values>
      </ddeItem>
      <ddeItem name="@CTA[8-2-1-3-8-3822,F,2,#6]" advise="1">
        <values>
          <value t="nil">
            <val>1</val>
          </value>
        </values>
      </ddeItem>
      <ddeItem name="@CTA[8-2-1-3-8-3822,F,3,#6]" advise="1">
        <values>
          <value t="nil">
            <val>1</val>
          </value>
        </values>
      </ddeItem>
      <ddeItem name="@CTA[8-2-1-3-8-3822,F,4,#6]" advise="1">
        <values>
          <value t="nil">
            <val>1</val>
          </value>
        </values>
      </ddeItem>
      <ddeItem name="@CTA[8-2-1-3-8-3822,F,5,#6]" advise="1">
        <values>
          <value t="nil">
            <val>1</val>
          </value>
        </values>
      </ddeItem>
      <ddeItem name="@CTA[8-2-1-3-8-3822,F,6,#6]" advise="1">
        <values>
          <value t="nil">
            <val>1</val>
          </value>
        </values>
      </ddeItem>
      <ddeItem name="@CTA[8-2-1-3-8-3822,F,7,#6]" advise="1">
        <values>
          <value>
            <val>0</val>
          </value>
        </values>
      </ddeItem>
      <ddeItem name="@CTA[8-2-1-3-8-3822,F,8,#6]" advise="1">
        <values>
          <value>
            <val>82000</val>
          </value>
        </values>
      </ddeItem>
      <ddeItem name="@CTA[8-2-1-3-8-3822,F,9,#6]" advise="1">
        <values>
          <value>
            <val>0</val>
          </value>
        </values>
      </ddeItem>
      <ddeItem name="@CTA[8-2-1-3-8-3831,F,1,#6]" advise="1">
        <values>
          <value t="nil">
            <val>1</val>
          </value>
        </values>
      </ddeItem>
      <ddeItem name="@CTA[8-2-1-3-8-3831,F,2,#6]" advise="1">
        <values>
          <value t="nil">
            <val>1</val>
          </value>
        </values>
      </ddeItem>
      <ddeItem name="@CTA[8-2-1-3-8-3831,F,3,#6]" advise="1">
        <values>
          <value t="nil">
            <val>1</val>
          </value>
        </values>
      </ddeItem>
      <ddeItem name="@CTA[8-2-1-3-8-3831,F,4,#6]" advise="1">
        <values>
          <value t="nil">
            <val>1</val>
          </value>
        </values>
      </ddeItem>
      <ddeItem name="@CTA[8-2-1-3-8-3831,F,5,#6]" advise="1">
        <values>
          <value t="nil">
            <val>1</val>
          </value>
        </values>
      </ddeItem>
      <ddeItem name="@CTA[8-2-1-3-8-3831,F,6,#6]" advise="1">
        <values>
          <value t="nil">
            <val>1</val>
          </value>
        </values>
      </ddeItem>
      <ddeItem name="@CTA[8-2-1-3-8-3831,F,7,#6]" advise="1">
        <values>
          <value t="nil">
            <val>1</val>
          </value>
        </values>
      </ddeItem>
      <ddeItem name="@CTA[8-2-1-3-8-3831,F,8,#6]" advise="1">
        <values>
          <value>
            <val>30000</val>
          </value>
        </values>
      </ddeItem>
      <ddeItem name="@CTA[8-2-1-3-8-3831,F,9,#6]" advise="1">
        <values>
          <value>
            <val>0</val>
          </value>
        </values>
      </ddeItem>
      <ddeItem name="@CTA[8-2-1-3-8-3851,F,1,#6]" advise="1">
        <values>
          <value t="nil">
            <val>1</val>
          </value>
        </values>
      </ddeItem>
      <ddeItem name="@CTA[8-2-1-3-8-3851,F,2,#6]" advise="1">
        <values>
          <value>
            <val>18000</val>
          </value>
        </values>
      </ddeItem>
      <ddeItem name="@CTA[8-2-1-3-8-3851,F,3,#6]" advise="1">
        <values>
          <value t="nil">
            <val>1</val>
          </value>
        </values>
      </ddeItem>
      <ddeItem name="@CTA[8-2-1-3-8-3851,F,4,#6]" advise="1">
        <values>
          <value t="nil">
            <val>1</val>
          </value>
        </values>
      </ddeItem>
      <ddeItem name="@CTA[8-2-1-3-8-3851,F,5,#6]" advise="1">
        <values>
          <value>
            <val>0</val>
          </value>
        </values>
      </ddeItem>
      <ddeItem name="@CTA[8-2-1-3-8-3851,F,6,#6]" advise="1">
        <values>
          <value t="nil">
            <val>1</val>
          </value>
        </values>
      </ddeItem>
      <ddeItem name="@CTA[8-2-1-3-8-3851,F,7,#6]" advise="1">
        <values>
          <value>
            <val>0</val>
          </value>
        </values>
      </ddeItem>
      <ddeItem name="@CTA[8-2-1-3-8-3851,F,8,#6]" advise="1">
        <values>
          <value t="nil">
            <val>1</val>
          </value>
        </values>
      </ddeItem>
      <ddeItem name="@CTA[8-2-1-3-8-3851,F,9,#6]" advise="1">
        <values>
          <value t="nil">
            <val>1</val>
          </value>
        </values>
      </ddeItem>
      <ddeItem name="@CTA[8-2-1-3-9,F,#5]" advise="1">
        <values>
          <value>
            <val>2463702</val>
          </value>
        </values>
      </ddeItem>
      <ddeItem name="@CTA[8-2-1-3-9-3921,F,1,#6]" advise="1">
        <values>
          <value>
            <val>2016000</val>
          </value>
        </values>
      </ddeItem>
      <ddeItem name="@CTA[8-2-1-3-9-3921,F,2,#6]" advise="1">
        <values>
          <value t="nil">
            <val>1</val>
          </value>
        </values>
      </ddeItem>
      <ddeItem name="@CTA[8-2-1-3-9-3921,F,3,#6]" advise="1">
        <values>
          <value t="nil">
            <val>1</val>
          </value>
        </values>
      </ddeItem>
      <ddeItem name="@CTA[8-2-1-3-9-3921,F,4,#6]" advise="1">
        <values>
          <value t="nil">
            <val>1</val>
          </value>
        </values>
      </ddeItem>
      <ddeItem name="@CTA[8-2-1-3-9-3921,F,5,#6]" advise="1">
        <values>
          <value t="nil">
            <val>1</val>
          </value>
        </values>
      </ddeItem>
      <ddeItem name="@CTA[8-2-1-3-9-3921,F,6,#6]" advise="1">
        <values>
          <value t="nil">
            <val>1</val>
          </value>
        </values>
      </ddeItem>
      <ddeItem name="@CTA[8-2-1-3-9-3921,F,7,#6]" advise="1">
        <values>
          <value t="nil">
            <val>1</val>
          </value>
        </values>
      </ddeItem>
      <ddeItem name="@CTA[8-2-1-3-9-3921,F,8,#6]" advise="1">
        <values>
          <value t="nil">
            <val>1</val>
          </value>
        </values>
      </ddeItem>
      <ddeItem name="@CTA[8-2-1-3-9-3921,F,9,#6]" advise="1">
        <values>
          <value t="nil">
            <val>1</val>
          </value>
        </values>
      </ddeItem>
      <ddeItem name="@CTA[8-2-1-3-9-3922,F,1,#6]" advise="1">
        <values>
          <value t="nil">
            <val>1</val>
          </value>
        </values>
      </ddeItem>
      <ddeItem name="@CTA[8-2-1-3-9-3922,F,2,#6]" advise="1">
        <values>
          <value t="nil">
            <val>1</val>
          </value>
        </values>
      </ddeItem>
      <ddeItem name="@CTA[8-2-1-3-9-3922,F,3,#6]" advise="1">
        <values>
          <value t="nil">
            <val>1</val>
          </value>
        </values>
      </ddeItem>
      <ddeItem name="@CTA[8-2-1-3-9-3922,F,4,#6]" advise="1">
        <values>
          <value t="nil">
            <val>1</val>
          </value>
        </values>
      </ddeItem>
      <ddeItem name="@CTA[8-2-1-3-9-3922,F,5,#6]" advise="1">
        <values>
          <value t="nil">
            <val>1</val>
          </value>
        </values>
      </ddeItem>
      <ddeItem name="@CTA[8-2-1-3-9-3922,F,6,#6]" advise="1">
        <values>
          <value t="nil">
            <val>1</val>
          </value>
        </values>
      </ddeItem>
      <ddeItem name="@CTA[8-2-1-3-9-3922,F,7,#6]" advise="1">
        <values>
          <value>
            <val>160421</val>
          </value>
        </values>
      </ddeItem>
      <ddeItem name="@CTA[8-2-1-3-9-3922,F,8,#6]" advise="1">
        <values>
          <value t="nil">
            <val>1</val>
          </value>
        </values>
      </ddeItem>
      <ddeItem name="@CTA[8-2-1-3-9-3922,F,9,#6]" advise="1">
        <values>
          <value t="nil">
            <val>1</val>
          </value>
        </values>
      </ddeItem>
      <ddeItem name="@CTA[8-2-1-3-9-3923,F,1,#6]" advise="1">
        <values>
          <value>
            <val>3803</val>
          </value>
        </values>
      </ddeItem>
      <ddeItem name="@CTA[8-2-1-3-9-3923,F,2,#6]" advise="1">
        <values>
          <value>
            <val>431</val>
          </value>
        </values>
      </ddeItem>
      <ddeItem name="@CTA[8-2-1-3-9-3923,F,3,#6]" advise="1">
        <values>
          <value t="nil">
            <val>1</val>
          </value>
        </values>
      </ddeItem>
      <ddeItem name="@CTA[8-2-1-3-9-3923,F,4,#6]" advise="1">
        <values>
          <value t="nil">
            <val>1</val>
          </value>
        </values>
      </ddeItem>
      <ddeItem name="@CTA[8-2-1-3-9-3923,F,5,#6]" advise="1">
        <values>
          <value>
            <val>119</val>
          </value>
        </values>
      </ddeItem>
      <ddeItem name="@CTA[8-2-1-3-9-3923,F,6,#6]" advise="1">
        <values>
          <value t="nil">
            <val>1</val>
          </value>
        </values>
      </ddeItem>
      <ddeItem name="@CTA[8-2-1-3-9-3923,F,7,#6]" advise="1">
        <values>
          <value>
            <val>431</val>
          </value>
        </values>
      </ddeItem>
      <ddeItem name="@CTA[8-2-1-3-9-3923,F,8,#6]" advise="1">
        <values>
          <value>
            <val>431</val>
          </value>
        </values>
      </ddeItem>
      <ddeItem name="@CTA[8-2-1-3-9-3923,F,9,#6]" advise="1">
        <values>
          <value>
            <val>431</val>
          </value>
        </values>
      </ddeItem>
      <ddeItem name="@CTA[8-2-1-3-9-3924,F,1,#6]" advise="1">
        <values>
          <value>
            <val>4604</val>
          </value>
        </values>
      </ddeItem>
      <ddeItem name="@CTA[8-2-1-3-9-3924,F,2,#6]" advise="1">
        <values>
          <value>
            <val>0</val>
          </value>
        </values>
      </ddeItem>
      <ddeItem name="@CTA[8-2-1-3-9-3924,F,3,#6]" advise="1">
        <values>
          <value>
            <val>575</val>
          </value>
        </values>
      </ddeItem>
      <ddeItem name="@CTA[8-2-1-3-9-3924,F,4,#6]" advise="1">
        <values>
          <value>
            <val>767</val>
          </value>
        </values>
      </ddeItem>
      <ddeItem name="@CTA[8-2-1-3-9-3924,F,5,#6]" advise="1">
        <values>
          <value>
            <val>1343</val>
          </value>
        </values>
      </ddeItem>
      <ddeItem name="@CTA[8-2-1-3-9-3924,F,6,#6]" advise="1">
        <values>
          <value t="nil">
            <val>1</val>
          </value>
        </values>
      </ddeItem>
      <ddeItem name="@CTA[8-2-1-3-9-3924,F,7,#6]" advise="1">
        <values>
          <value>
            <val>959</val>
          </value>
        </values>
      </ddeItem>
      <ddeItem name="@CTA[8-2-1-3-9-3924,F,8,#6]" advise="1">
        <values>
          <value>
            <val>384</val>
          </value>
        </values>
      </ddeItem>
      <ddeItem name="@CTA[8-2-1-3-9-3924,F,9,#6]" advise="1">
        <values>
          <value>
            <val>384</val>
          </value>
        </values>
      </ddeItem>
      <ddeItem name="@CTA[8-2-1-3-9-3925,F,1,#6]" advise="1">
        <values>
          <value>
            <val>9070</val>
          </value>
        </values>
      </ddeItem>
      <ddeItem name="@CTA[8-2-1-3-9-3925,F,2,#6]" advise="1">
        <values>
          <value>
            <val>489</val>
          </value>
        </values>
      </ddeItem>
      <ddeItem name="@CTA[8-2-1-3-9-3925,F,3,#6]" advise="1">
        <values>
          <value>
            <val>0</val>
          </value>
        </values>
      </ddeItem>
      <ddeItem name="@CTA[8-2-1-3-9-3925,F,4,#6]" advise="1">
        <values>
          <value>
            <val>0</val>
          </value>
        </values>
      </ddeItem>
      <ddeItem name="@CTA[8-2-1-3-9-3925,F,5,#6]" advise="1">
        <values>
          <value>
            <val>996</val>
          </value>
        </values>
      </ddeItem>
      <ddeItem name="@CTA[8-2-1-3-9-3925,F,6,#6]" advise="1">
        <values>
          <value t="nil">
            <val>1</val>
          </value>
        </values>
      </ddeItem>
      <ddeItem name="@CTA[8-2-1-3-9-3925,F,7,#6]" advise="1">
        <values>
          <value>
            <val>2139</val>
          </value>
        </values>
      </ddeItem>
      <ddeItem name="@CTA[8-2-1-3-9-3925,F,8,#6]" advise="1">
        <values>
          <value>
            <val>996</val>
          </value>
        </values>
      </ddeItem>
      <ddeItem name="@CTA[8-2-1-3-9-3925,F,9,#6]" advise="1">
        <values>
          <value>
            <val>489</val>
          </value>
        </values>
      </ddeItem>
      <ddeItem name="@CTA[8-2-1-3-9-3926,F,1,#6]" advise="1">
        <values>
          <value t="nil">
            <val>1</val>
          </value>
        </values>
      </ddeItem>
      <ddeItem name="@CTA[8-2-1-3-9-3926,F,2,#6]" advise="1">
        <values>
          <value t="nil">
            <val>1</val>
          </value>
        </values>
      </ddeItem>
      <ddeItem name="@CTA[8-2-1-3-9-3926,F,3,#6]" advise="1">
        <values>
          <value t="nil">
            <val>1</val>
          </value>
        </values>
      </ddeItem>
      <ddeItem name="@CTA[8-2-1-3-9-3926,F,4,#6]" advise="1">
        <values>
          <value t="nil">
            <val>1</val>
          </value>
        </values>
      </ddeItem>
      <ddeItem name="@CTA[8-2-1-3-9-3926,F,5,#6]" advise="1">
        <values>
          <value>
            <val>0</val>
          </value>
        </values>
      </ddeItem>
      <ddeItem name="@CTA[8-2-1-3-9-3926,F,6,#6]" advise="1">
        <values>
          <value t="nil">
            <val>1</val>
          </value>
        </values>
      </ddeItem>
      <ddeItem name="@CTA[8-2-1-3-9-3926,F,7,#6]" advise="1">
        <values>
          <value t="nil">
            <val>1</val>
          </value>
        </values>
      </ddeItem>
      <ddeItem name="@CTA[8-2-1-3-9-3926,F,8,#6]" advise="1">
        <values>
          <value t="nil">
            <val>1</val>
          </value>
        </values>
      </ddeItem>
      <ddeItem name="@CTA[8-2-1-3-9-3926,F,9,#6]" advise="1">
        <values>
          <value t="nil">
            <val>1</val>
          </value>
        </values>
      </ddeItem>
      <ddeItem name="@CTA[8-2-1-3-9-3961,F,1,#6]" advise="1">
        <values>
          <value>
            <val>0</val>
          </value>
        </values>
      </ddeItem>
      <ddeItem name="@CTA[8-2-1-3-9-3961,F,2,#6]" advise="1">
        <values>
          <value>
            <val>12000</val>
          </value>
        </values>
      </ddeItem>
      <ddeItem name="@CTA[8-2-1-3-9-3961,F,3,#6]" advise="1">
        <values>
          <value t="nil">
            <val>1</val>
          </value>
        </values>
      </ddeItem>
      <ddeItem name="@CTA[8-2-1-3-9-3961,F,4,#6]" advise="1">
        <values>
          <value t="nil">
            <val>1</val>
          </value>
        </values>
      </ddeItem>
      <ddeItem name="@CTA[8-2-1-3-9-3961,F,5,#6]" advise="1">
        <values>
          <value t="nil">
            <val>1</val>
          </value>
        </values>
      </ddeItem>
      <ddeItem name="@CTA[8-2-1-3-9-3961,F,6,#6]" advise="1">
        <values>
          <value>
            <val>0</val>
          </value>
        </values>
      </ddeItem>
      <ddeItem name="@CTA[8-2-1-3-9-3961,F,7,#6]" advise="1">
        <values>
          <value t="nil">
            <val>1</val>
          </value>
        </values>
      </ddeItem>
      <ddeItem name="@CTA[8-2-1-3-9-3961,F,8,#6]" advise="1">
        <values>
          <value t="nil">
            <val>1</val>
          </value>
        </values>
      </ddeItem>
      <ddeItem name="@CTA[8-2-1-3-9-3961,F,9,#6]" advise="1">
        <values>
          <value t="nil">
            <val>1</val>
          </value>
        </values>
      </ddeItem>
      <ddeItem name="@CTA[8-2-1-3-9-3962,F,1,#6]" advise="1">
        <values>
          <value t="nil">
            <val>1</val>
          </value>
        </values>
      </ddeItem>
      <ddeItem name="@CTA[8-2-1-3-9-3962,F,2,#6]" advise="1">
        <values>
          <value t="nil">
            <val>1</val>
          </value>
        </values>
      </ddeItem>
      <ddeItem name="@CTA[8-2-1-3-9-3962,F,3,#6]" advise="1">
        <values>
          <value t="nil">
            <val>1</val>
          </value>
        </values>
      </ddeItem>
      <ddeItem name="@CTA[8-2-1-3-9-3962,F,4,#6]" advise="1">
        <values>
          <value>
            <val>507</val>
          </value>
        </values>
      </ddeItem>
      <ddeItem name="@CTA[8-2-1-3-9-3962,F,5,#6]" advise="1">
        <values>
          <value t="nil">
            <val>1</val>
          </value>
        </values>
      </ddeItem>
      <ddeItem name="@CTA[8-2-1-3-9-3962,F,6,#6]" advise="1">
        <values>
          <value t="nil">
            <val>1</val>
          </value>
        </values>
      </ddeItem>
      <ddeItem name="@CTA[8-2-1-3-9-3962,F,7,#6]" advise="1">
        <values>
          <value t="nil">
            <val>1</val>
          </value>
        </values>
      </ddeItem>
      <ddeItem name="@CTA[8-2-1-3-9-3962,F,8,#6]" advise="1">
        <values>
          <value t="nil">
            <val>1</val>
          </value>
        </values>
      </ddeItem>
      <ddeItem name="@CTA[8-2-1-3-9-3962,F,9,#6]" advise="1">
        <values>
          <value t="nil">
            <val>1</val>
          </value>
        </values>
      </ddeItem>
      <ddeItem name="@CTA[8-2-1-3-9-3981,F,1,#6]" advise="1">
        <values>
          <value>
            <val>96290</val>
          </value>
        </values>
      </ddeItem>
      <ddeItem name="@CTA[8-2-1-3-9-3981,F,2,#6]" advise="1">
        <values>
          <value>
            <val>14519</val>
          </value>
        </values>
      </ddeItem>
      <ddeItem name="@CTA[8-2-1-3-9-3981,F,3,#6]" advise="1">
        <values>
          <value>
            <val>28602</val>
          </value>
        </values>
      </ddeItem>
      <ddeItem name="@CTA[8-2-1-3-9-3981,F,4,#6]" advise="1">
        <values>
          <value>
            <val>18792</val>
          </value>
        </values>
      </ddeItem>
      <ddeItem name="@CTA[8-2-1-3-9-3981,F,5,#6]" advise="1">
        <values>
          <value>
            <val>27640</val>
          </value>
        </values>
      </ddeItem>
      <ddeItem name="@CTA[8-2-1-3-9-3981,F,6,#6]" advise="1">
        <values>
          <value>
            <val>7350</val>
          </value>
        </values>
      </ddeItem>
      <ddeItem name="@CTA[8-2-1-3-9-3981,F,7,#6]" advise="1">
        <values>
          <value>
            <val>26001</val>
          </value>
        </values>
      </ddeItem>
      <ddeItem name="@CTA[8-2-1-3-9-3981,F,8,#6]" advise="1">
        <values>
          <value>
            <val>8852</val>
          </value>
        </values>
      </ddeItem>
      <ddeItem name="@CTA[8-2-1-3-9-3981,F,9,#6]" advise="1">
        <values>
          <value>
            <val>17887</val>
          </value>
        </values>
      </ddeItem>
      <ddeItem name="@CTA[8-2-1-4,F,#4]" advise="1">
        <values>
          <value t="nil">
            <val>1</val>
          </value>
        </values>
      </ddeItem>
      <ddeItem name="@CTA[8-2-1-4-1,F,#5]" advise="1">
        <values>
          <value t="nil">
            <val>1</val>
          </value>
        </values>
      </ddeItem>
      <ddeItem name="@CTA[8-2-1-4-2,F,#5]" advise="1">
        <values>
          <value t="nil">
            <val>1</val>
          </value>
        </values>
      </ddeItem>
      <ddeItem name="@CTA[8-2-1-4-3,F,#5]" advise="1">
        <values>
          <value t="nil">
            <val>1</val>
          </value>
        </values>
      </ddeItem>
      <ddeItem name="@CTA[8-2-1-4-4,F,#5]" advise="1">
        <values>
          <value t="nil">
            <val>1</val>
          </value>
        </values>
      </ddeItem>
      <ddeItem name="@CTA[8-2-1-4-5,F,#5]" advise="1">
        <values>
          <value t="nil">
            <val>1</val>
          </value>
        </values>
      </ddeItem>
      <ddeItem name="@CTA[8-2-1-4-6,F,#5]" advise="1">
        <values>
          <value t="nil">
            <val>1</val>
          </value>
        </values>
      </ddeItem>
      <ddeItem name="@CTA[8-2-1-4-7,F,#5]" advise="1">
        <values>
          <value t="nil">
            <val>1</val>
          </value>
        </values>
      </ddeItem>
      <ddeItem name="@CTA[8-2-1-4-8,F,#5]" advise="1">
        <values>
          <value t="nil">
            <val>1</val>
          </value>
        </values>
      </ddeItem>
      <ddeItem name="@CTA[8-2-1-4-9,F,#5]" advise="1">
        <values>
          <value t="nil">
            <val>1</val>
          </value>
        </values>
      </ddeItem>
      <ddeItem name="@CTA[8-2-1-5,F,#4]" advise="1">
        <values>
          <value>
            <val>1407966</val>
          </value>
        </values>
      </ddeItem>
      <ddeItem name="@CTA[8-2-1-5-1,F,#5]" advise="1">
        <values>
          <value>
            <val>479757</val>
          </value>
        </values>
      </ddeItem>
      <ddeItem name="@CTA[8-2-1-5-1-5111,F,1,#6]" advise="1">
        <values>
          <value>
            <val>0</val>
          </value>
        </values>
      </ddeItem>
      <ddeItem name="@CTA[8-2-1-5-1-5111,F,2,#6]" advise="1">
        <values>
          <value>
            <val>5600</val>
          </value>
        </values>
      </ddeItem>
      <ddeItem name="@CTA[8-2-1-5-1-5111,F,3,#6]" advise="1">
        <values>
          <value>
            <val>4000</val>
          </value>
        </values>
      </ddeItem>
      <ddeItem name="@CTA[8-2-1-5-1-5111,F,4,#6]" advise="1">
        <values>
          <value>
            <val>2001</val>
          </value>
        </values>
      </ddeItem>
      <ddeItem name="@CTA[8-2-1-5-1-5111,F,5,#6]" advise="1">
        <values>
          <value>
            <val>0</val>
          </value>
        </values>
      </ddeItem>
      <ddeItem name="@CTA[8-2-1-5-1-5111,F,6,#6]" advise="1">
        <values>
          <value>
            <val>0</val>
          </value>
        </values>
      </ddeItem>
      <ddeItem name="@CTA[8-2-1-5-1-5111,F,7,#6]" advise="1">
        <values>
          <value>
            <val>0</val>
          </value>
        </values>
      </ddeItem>
      <ddeItem name="@CTA[8-2-1-5-1-5111,F,8,#6]" advise="1">
        <values>
          <value>
            <val>14998</val>
          </value>
        </values>
      </ddeItem>
      <ddeItem name="@CTA[8-2-1-5-1-5111,F,9,#6]" advise="1">
        <values>
          <value t="nil">
            <val>1</val>
          </value>
        </values>
      </ddeItem>
      <ddeItem name="@CTA[8-2-1-5-1-5151,F,1,#6]" advise="1">
        <values>
          <value t="nil">
            <val>1</val>
          </value>
        </values>
      </ddeItem>
      <ddeItem name="@CTA[8-2-1-5-1-5151,F,2,#6]" advise="1">
        <values>
          <value t="nil">
            <val>1</val>
          </value>
        </values>
      </ddeItem>
      <ddeItem name="@CTA[8-2-1-5-1-5151,F,3,#6]" advise="1">
        <values>
          <value>
            <val>8001</val>
          </value>
        </values>
      </ddeItem>
      <ddeItem name="@CTA[8-2-1-5-1-5151,F,4,#6]" advise="1">
        <values>
          <value t="nil">
            <val>1</val>
          </value>
        </values>
      </ddeItem>
      <ddeItem name="@CTA[8-2-1-5-1-5151,F,5,#6]" advise="1">
        <values>
          <value>
            <val>60000</val>
          </value>
        </values>
      </ddeItem>
      <ddeItem name="@CTA[8-2-1-5-1-5151,F,6,#6]" advise="1">
        <values>
          <value>
            <val>94096</val>
          </value>
        </values>
      </ddeItem>
      <ddeItem name="@CTA[8-2-1-5-1-5151,F,7,#6]" advise="1">
        <values>
          <value t="nil">
            <val>1</val>
          </value>
        </values>
      </ddeItem>
      <ddeItem name="@CTA[8-2-1-5-1-5151,F,8,#6]" advise="1">
        <values>
          <value t="nil">
            <val>1</val>
          </value>
        </values>
      </ddeItem>
      <ddeItem name="@CTA[8-2-1-5-1-5151,F,9,#6]" advise="1">
        <values>
          <value t="nil">
            <val>1</val>
          </value>
        </values>
      </ddeItem>
      <ddeItem name="@CTA[8-2-1-5-1-5152,F,1,#6]" advise="1">
        <values>
          <value>
            <val>0</val>
          </value>
        </values>
      </ddeItem>
      <ddeItem name="@CTA[8-2-1-5-1-5152,F,2,#6]" advise="1">
        <values>
          <value t="nil">
            <val>1</val>
          </value>
        </values>
      </ddeItem>
      <ddeItem name="@CTA[8-2-1-5-1-5152,F,3,#6]" advise="1">
        <values>
          <value t="nil">
            <val>1</val>
          </value>
        </values>
      </ddeItem>
      <ddeItem name="@CTA[8-2-1-5-1-5152,F,4,#6]" advise="1">
        <values>
          <value>
            <val>0</val>
          </value>
        </values>
      </ddeItem>
      <ddeItem name="@CTA[8-2-1-5-1-5152,F,5,#6]" advise="1">
        <values>
          <value t="nil">
            <val>1</val>
          </value>
        </values>
      </ddeItem>
      <ddeItem name="@CTA[8-2-1-5-1-5152,F,6,#6]" advise="1">
        <values>
          <value>
            <val>291061</val>
          </value>
        </values>
      </ddeItem>
      <ddeItem name="@CTA[8-2-1-5-1-5152,F,7,#6]" advise="1">
        <values>
          <value>
            <val>0</val>
          </value>
        </values>
      </ddeItem>
      <ddeItem name="@CTA[8-2-1-5-1-5152,F,8,#6]" advise="1">
        <values>
          <value t="nil">
            <val>1</val>
          </value>
        </values>
      </ddeItem>
      <ddeItem name="@CTA[8-2-1-5-1-5152,F,9,#6]" advise="1">
        <values>
          <value t="nil">
            <val>1</val>
          </value>
        </values>
      </ddeItem>
      <ddeItem name="@CTA[8-2-1-5-1-5153,F,1,#6]" advise="1">
        <values>
          <value t="nil">
            <val>1</val>
          </value>
        </values>
      </ddeItem>
      <ddeItem name="@CTA[8-2-1-5-1-5153,F,2,#6]" advise="1">
        <values>
          <value t="nil">
            <val>1</val>
          </value>
        </values>
      </ddeItem>
      <ddeItem name="@CTA[8-2-1-5-1-5153,F,3,#6]" advise="1">
        <values>
          <value t="nil">
            <val>1</val>
          </value>
        </values>
      </ddeItem>
      <ddeItem name="@CTA[8-2-1-5-1-5153,F,4,#6]" advise="1">
        <values>
          <value>
            <val>0</val>
          </value>
        </values>
      </ddeItem>
      <ddeItem name="@CTA[8-2-1-5-1-5153,F,5,#6]" advise="1">
        <values>
          <value t="nil">
            <val>1</val>
          </value>
        </values>
      </ddeItem>
      <ddeItem name="@CTA[8-2-1-5-1-5153,F,6,#6]" advise="1">
        <values>
          <value t="nil">
            <val>1</val>
          </value>
        </values>
      </ddeItem>
      <ddeItem name="@CTA[8-2-1-5-1-5153,F,7,#6]" advise="1">
        <values>
          <value t="nil">
            <val>1</val>
          </value>
        </values>
      </ddeItem>
      <ddeItem name="@CTA[8-2-1-5-1-5153,F,8,#6]" advise="1">
        <values>
          <value t="nil">
            <val>1</val>
          </value>
        </values>
      </ddeItem>
      <ddeItem name="@CTA[8-2-1-5-1-5153,F,9,#6]" advise="1">
        <values>
          <value t="nil">
            <val>1</val>
          </value>
        </values>
      </ddeItem>
      <ddeItem name="@CTA[8-2-1-5-2,F,#5]" advise="1">
        <values>
          <value>
            <val>4400</val>
          </value>
        </values>
      </ddeItem>
      <ddeItem name="@CTA[8-2-1-5-2-5231,F,1,#6]" advise="1">
        <values>
          <value>
            <val>2200</val>
          </value>
        </values>
      </ddeItem>
      <ddeItem name="@CTA[8-2-1-5-2-5231,F,2,#6]" advise="1">
        <values>
          <value t="nil">
            <val>1</val>
          </value>
        </values>
      </ddeItem>
      <ddeItem name="@CTA[8-2-1-5-2-5231,F,3,#6]" advise="1">
        <values>
          <value t="nil">
            <val>1</val>
          </value>
        </values>
      </ddeItem>
      <ddeItem name="@CTA[8-2-1-5-2-5231,F,4,#6]" advise="1">
        <values>
          <value>
            <val>0</val>
          </value>
        </values>
      </ddeItem>
      <ddeItem name="@CTA[8-2-1-5-2-5231,F,5,#6]" advise="1">
        <values>
          <value>
            <val>2200</val>
          </value>
        </values>
      </ddeItem>
      <ddeItem name="@CTA[8-2-1-5-2-5231,F,6,#6]" advise="1">
        <values>
          <value t="nil">
            <val>1</val>
          </value>
        </values>
      </ddeItem>
      <ddeItem name="@CTA[8-2-1-5-2-5231,F,7,#6]" advise="1">
        <values>
          <value t="nil">
            <val>1</val>
          </value>
        </values>
      </ddeItem>
      <ddeItem name="@CTA[8-2-1-5-2-5231,F,8,#6]" advise="1">
        <values>
          <value>
            <val>0</val>
          </value>
        </values>
      </ddeItem>
      <ddeItem name="@CTA[8-2-1-5-2-5231,F,9,#6]" advise="1">
        <values>
          <value>
            <val>0</val>
          </value>
        </values>
      </ddeItem>
      <ddeItem name="@CTA[8-2-1-5-3,F,#5]" advise="1">
        <values>
          <value>
            <val>0</val>
          </value>
        </values>
      </ddeItem>
      <ddeItem name="@CTA[8-2-1-5-3-5311,F,7,#6]" advise="1">
        <values>
          <value>
            <val>0</val>
          </value>
        </values>
      </ddeItem>
      <ddeItem name="@CTA[8-2-1-5-4,F,#5]" advise="1">
        <values>
          <value>
            <val>23400</val>
          </value>
        </values>
      </ddeItem>
      <ddeItem name="@CTA[8-2-1-5-4-5411,F,1,#6]" advise="1">
        <values>
          <value>
            <val>0</val>
          </value>
        </values>
      </ddeItem>
      <ddeItem name="@CTA[8-2-1-5-4-5411,F,2,#6]" advise="1">
        <values>
          <value t="nil">
            <val>1</val>
          </value>
        </values>
      </ddeItem>
      <ddeItem name="@CTA[8-2-1-5-4-5411,F,3,#6]" advise="1">
        <values>
          <value t="nil">
            <val>1</val>
          </value>
        </values>
      </ddeItem>
      <ddeItem name="@CTA[8-2-1-5-4-5411,F,4,#6]" advise="1">
        <values>
          <value t="nil">
            <val>1</val>
          </value>
        </values>
      </ddeItem>
      <ddeItem name="@CTA[8-2-1-5-4-5411,F,5,#6]" advise="1">
        <values>
          <value t="nil">
            <val>1</val>
          </value>
        </values>
      </ddeItem>
      <ddeItem name="@CTA[8-2-1-5-4-5411,F,6,#6]" advise="1">
        <values>
          <value t="nil">
            <val>1</val>
          </value>
        </values>
      </ddeItem>
      <ddeItem name="@CTA[8-2-1-5-4-5411,F,7,#6]" advise="1">
        <values>
          <value t="nil">
            <val>1</val>
          </value>
        </values>
      </ddeItem>
      <ddeItem name="@CTA[8-2-1-5-4-5411,F,8,#6]" advise="1">
        <values>
          <value t="nil">
            <val>1</val>
          </value>
        </values>
      </ddeItem>
      <ddeItem name="@CTA[8-2-1-5-4-5411,F,9,#6]" advise="1">
        <values>
          <value t="nil">
            <val>1</val>
          </value>
        </values>
      </ddeItem>
      <ddeItem name="@CTA[8-2-1-5-4-5491,F,1,#6]" advise="1">
        <values>
          <value>
            <val>19500</val>
          </value>
        </values>
      </ddeItem>
      <ddeItem name="@CTA[8-2-1-5-4-5491,F,2,#6]" advise="1">
        <values>
          <value t="nil">
            <val>1</val>
          </value>
        </values>
      </ddeItem>
      <ddeItem name="@CTA[8-2-1-5-4-5491,F,3,#6]" advise="1">
        <values>
          <value t="nil">
            <val>1</val>
          </value>
        </values>
      </ddeItem>
      <ddeItem name="@CTA[8-2-1-5-4-5491,F,4,#6]" advise="1">
        <values>
          <value t="nil">
            <val>1</val>
          </value>
        </values>
      </ddeItem>
      <ddeItem name="@CTA[8-2-1-5-4-5491,F,5,#6]" advise="1">
        <values>
          <value>
            <val>3900</val>
          </value>
        </values>
      </ddeItem>
      <ddeItem name="@CTA[8-2-1-5-4-5491,F,6,#6]" advise="1">
        <values>
          <value t="nil">
            <val>1</val>
          </value>
        </values>
      </ddeItem>
      <ddeItem name="@CTA[8-2-1-5-4-5491,F,7,#6]" advise="1">
        <values>
          <value t="nil">
            <val>1</val>
          </value>
        </values>
      </ddeItem>
      <ddeItem name="@CTA[8-2-1-5-4-5491,F,8,#6]" advise="1">
        <values>
          <value t="nil">
            <val>1</val>
          </value>
        </values>
      </ddeItem>
      <ddeItem name="@CTA[8-2-1-5-4-5491,F,9,#6]" advise="1">
        <values>
          <value t="nil">
            <val>1</val>
          </value>
        </values>
      </ddeItem>
      <ddeItem name="@CTA[8-2-1-5-5,F,#5]" advise="1">
        <values>
          <value>
            <val>0</val>
          </value>
        </values>
      </ddeItem>
      <ddeItem name="@CTA[8-2-1-5-6,F,#5]" advise="1">
        <values>
          <value>
            <val>87891</val>
          </value>
        </values>
      </ddeItem>
      <ddeItem name="@CTA[8-2-1-5-6-5631,F,1,#6]" advise="1">
        <values>
          <value>
            <val>44304</val>
          </value>
        </values>
      </ddeItem>
      <ddeItem name="@CTA[8-2-1-5-6-5631,F,2,#6]" advise="1">
        <values>
          <value t="nil">
            <val>1</val>
          </value>
        </values>
      </ddeItem>
      <ddeItem name="@CTA[8-2-1-5-6-5631,F,3,#6]" advise="1">
        <values>
          <value t="nil">
            <val>1</val>
          </value>
        </values>
      </ddeItem>
      <ddeItem name="@CTA[8-2-1-5-6-5631,F,4,#6]" advise="1">
        <values>
          <value t="nil">
            <val>1</val>
          </value>
        </values>
      </ddeItem>
      <ddeItem name="@CTA[8-2-1-5-6-5631,F,5,#6]" advise="1">
        <values>
          <value t="nil">
            <val>1</val>
          </value>
        </values>
      </ddeItem>
      <ddeItem name="@CTA[8-2-1-5-6-5631,F,6,#6]" advise="1">
        <values>
          <value>
            <val>5603</val>
          </value>
        </values>
      </ddeItem>
      <ddeItem name="@CTA[8-2-1-5-6-5631,F,7,#6]" advise="1">
        <values>
          <value t="nil">
            <val>1</val>
          </value>
        </values>
      </ddeItem>
      <ddeItem name="@CTA[8-2-1-5-6-5631,F,8,#6]" advise="1">
        <values>
          <value t="nil">
            <val>1</val>
          </value>
        </values>
      </ddeItem>
      <ddeItem name="@CTA[8-2-1-5-6-5631,F,9,#6]" advise="1">
        <values>
          <value t="nil">
            <val>1</val>
          </value>
        </values>
      </ddeItem>
      <ddeItem name="@CTA[8-2-1-5-6-5632,F,1,#6]" advise="1">
        <values>
          <value>
            <val>0</val>
          </value>
        </values>
      </ddeItem>
      <ddeItem name="@CTA[8-2-1-5-6-5632,F,9,#6]" advise="1">
        <values>
          <value>
            <val>13000</val>
          </value>
        </values>
      </ddeItem>
      <ddeItem name="@CTA[8-2-1-5-6-5651,F,1,#6]" advise="1">
        <values>
          <value>
            <val>18270</val>
          </value>
        </values>
      </ddeItem>
      <ddeItem name="@CTA[8-2-1-5-6-5651,F,2,#6]" advise="1">
        <values>
          <value t="nil">
            <val>1</val>
          </value>
        </values>
      </ddeItem>
      <ddeItem name="@CTA[8-2-1-5-6-5651,F,3,#6]" advise="1">
        <values>
          <value t="nil">
            <val>1</val>
          </value>
        </values>
      </ddeItem>
      <ddeItem name="@CTA[8-2-1-5-6-5651,F,4,#6]" advise="1">
        <values>
          <value>
            <val>0</val>
          </value>
        </values>
      </ddeItem>
      <ddeItem name="@CTA[8-2-1-5-6-5651,F,5,#6]" advise="1">
        <values>
          <value>
            <val>0</val>
          </value>
        </values>
      </ddeItem>
      <ddeItem name="@CTA[8-2-1-5-6-5651,F,6,#6]" advise="1">
        <values>
          <value t="nil">
            <val>1</val>
          </value>
        </values>
      </ddeItem>
      <ddeItem name="@CTA[8-2-1-5-6-5651,F,7,#6]" advise="1">
        <values>
          <value>
            <val>0</val>
          </value>
        </values>
      </ddeItem>
      <ddeItem name="@CTA[8-2-1-5-6-5651,F,8,#6]" advise="1">
        <values>
          <value t="nil">
            <val>1</val>
          </value>
        </values>
      </ddeItem>
      <ddeItem name="@CTA[8-2-1-5-6-5651,F,9,#6]" advise="1">
        <values>
          <value>
            <val>4567</val>
          </value>
        </values>
      </ddeItem>
      <ddeItem name="@CTA[8-2-1-5-6-5653,F,8,#6]" advise="1">
        <values>
          <value t="nil">
            <val>1</val>
          </value>
        </values>
      </ddeItem>
      <ddeItem name="@CTA[8-2-1-5-6-5671,F,1,#6]" advise="1">
        <values>
          <value>
            <val>2147</val>
          </value>
        </values>
      </ddeItem>
      <ddeItem name="@CTA[8-2-1-5-6-5671,F,2,#6]" advise="1">
        <values>
          <value t="nil">
            <val>1</val>
          </value>
        </values>
      </ddeItem>
      <ddeItem name="@CTA[8-2-1-5-6-5671,F,3,#6]" advise="1">
        <values>
          <value t="nil">
            <val>1</val>
          </value>
        </values>
      </ddeItem>
      <ddeItem name="@CTA[8-2-1-5-6-5671,F,4,#6]" advise="1">
        <values>
          <value t="nil">
            <val>1</val>
          </value>
        </values>
      </ddeItem>
      <ddeItem name="@CTA[8-2-1-5-6-5671,F,5,#6]" advise="1">
        <values>
          <value t="nil">
            <val>1</val>
          </value>
        </values>
      </ddeItem>
      <ddeItem name="@CTA[8-2-1-5-6-5671,F,6,#6]" advise="1">
        <values>
          <value t="nil">
            <val>1</val>
          </value>
        </values>
      </ddeItem>
      <ddeItem name="@CTA[8-2-1-5-6-5671,F,7,#6]" advise="1">
        <values>
          <value>
            <val>0</val>
          </value>
        </values>
      </ddeItem>
      <ddeItem name="@CTA[8-2-1-5-6-5671,F,8,#6]" advise="1">
        <values>
          <value t="nil">
            <val>1</val>
          </value>
        </values>
      </ddeItem>
      <ddeItem name="@CTA[8-2-1-5-6-5671,F,9,#6]" advise="1">
        <values>
          <value t="nil">
            <val>1</val>
          </value>
        </values>
      </ddeItem>
      <ddeItem name="@CTA[8-2-1-5-6-5693,F,1,#6]" advise="1">
        <values>
          <value t="nil">
            <val>1</val>
          </value>
        </values>
      </ddeItem>
      <ddeItem name="@CTA[8-2-1-5-6-5694,F,3,#6]" advise="1">
        <values>
          <value t="nil">
            <val>1</val>
          </value>
        </values>
      </ddeItem>
      <ddeItem name="@CTA[8-2-1-5-7,F,#5]" advise="1">
        <values>
          <value t="nil">
            <val>1</val>
          </value>
        </values>
      </ddeItem>
      <ddeItem name="@CTA[8-2-1-5-8,F,#5]" advise="1">
        <values>
          <value>
            <val>0</val>
          </value>
        </values>
      </ddeItem>
      <ddeItem name="@CTA[8-2-1-5-9,F,#5]" advise="1">
        <values>
          <value>
            <val>812518</val>
          </value>
        </values>
      </ddeItem>
      <ddeItem name="@CTA[8-2-1-5-9-5911,F,1,#6]" advise="1">
        <values>
          <value t="nil">
            <val>1</val>
          </value>
        </values>
      </ddeItem>
      <ddeItem name="@CTA[8-2-1-5-9-5911,F,2,#6]" advise="1">
        <values>
          <value t="nil">
            <val>1</val>
          </value>
        </values>
      </ddeItem>
      <ddeItem name="@CTA[8-2-1-5-9-5911,F,3,#6]" advise="1">
        <values>
          <value t="nil">
            <val>1</val>
          </value>
        </values>
      </ddeItem>
      <ddeItem name="@CTA[8-2-1-5-9-5911,F,4,#6]" advise="1">
        <values>
          <value>
            <val>0</val>
          </value>
        </values>
      </ddeItem>
      <ddeItem name="@CTA[8-2-1-5-9-5911,F,5,#6]" advise="1">
        <values>
          <value>
            <val>0</val>
          </value>
        </values>
      </ddeItem>
      <ddeItem name="@CTA[8-2-1-5-9-5911,F,6,#6]" advise="1">
        <values>
          <value>
            <val>42006</val>
          </value>
        </values>
      </ddeItem>
      <ddeItem name="@CTA[8-2-1-5-9-5911,F,7,#6]" advise="1">
        <values>
          <value t="nil">
            <val>1</val>
          </value>
        </values>
      </ddeItem>
      <ddeItem name="@CTA[8-2-1-5-9-5911,F,8,#6]" advise="1">
        <values>
          <value t="nil">
            <val>1</val>
          </value>
        </values>
      </ddeItem>
      <ddeItem name="@CTA[8-2-1-5-9-5911,F,9,#6]" advise="1">
        <values>
          <value>
            <val>15939</val>
          </value>
        </values>
      </ddeItem>
      <ddeItem name="@CTA[8-2-1-5-9-5951,F,2,#6]" advise="1">
        <values>
          <value>
            <val>754573</val>
          </value>
        </values>
      </ddeItem>
      <ddeItem name="@CTA[8-2-1-6,F,#4]" advise="1">
        <values>
          <value>
            <val>12210011</val>
          </value>
        </values>
      </ddeItem>
      <ddeItem name="@CTA[8-2-1-6-1,F,#5]" advise="1">
        <values>
          <value>
            <val>11790011</val>
          </value>
        </values>
      </ddeItem>
      <ddeItem name="@CTA[8-2-1-6-1-6131,F,1,#6]" advise="1">
        <values>
          <value>
            <val>0</val>
          </value>
        </values>
      </ddeItem>
      <ddeItem name="@CTA[8-2-1-6-1-6131,F,2,#6]" advise="1">
        <values>
          <value>
            <val>0</val>
          </value>
        </values>
      </ddeItem>
      <ddeItem name="@CTA[8-2-1-6-1-6131,F,3,#6]" advise="1">
        <values>
          <value t="nil">
            <val>1</val>
          </value>
        </values>
      </ddeItem>
      <ddeItem name="@CTA[8-2-1-6-1-6131,F,4,#6]" advise="1">
        <values>
          <value t="nil">
            <val>1</val>
          </value>
        </values>
      </ddeItem>
      <ddeItem name="@CTA[8-2-1-6-1-6131,F,5,#6]" advise="1">
        <values>
          <value t="nil">
            <val>1</val>
          </value>
        </values>
      </ddeItem>
      <ddeItem name="@CTA[8-2-1-6-1-6131,F,6,#6]" advise="1">
        <values>
          <value t="nil">
            <val>1</val>
          </value>
        </values>
      </ddeItem>
      <ddeItem name="@CTA[8-2-1-6-1-6131,F,7,#6]" advise="1">
        <values>
          <value t="nil">
            <val>1</val>
          </value>
        </values>
      </ddeItem>
      <ddeItem name="@CTA[8-2-1-6-1-6131,F,8,#6]" advise="1">
        <values>
          <value t="nil">
            <val>1</val>
          </value>
        </values>
      </ddeItem>
      <ddeItem name="@CTA[8-2-1-6-1-6131,F,9,#6]" advise="1">
        <values>
          <value>
            <val>1795484</val>
          </value>
        </values>
      </ddeItem>
      <ddeItem name="@CTA[8-2-1-6-1-6161,F,1,#6]" advise="1">
        <values>
          <value>
            <val>0</val>
          </value>
        </values>
      </ddeItem>
      <ddeItem name="@CTA[8-2-1-6-1-6161,F,2,#6]" advise="1">
        <values>
          <value t="nil">
            <val>1</val>
          </value>
        </values>
      </ddeItem>
      <ddeItem name="@CTA[8-2-1-6-1-6161,F,3,#6]" advise="1">
        <values>
          <value t="nil">
            <val>1</val>
          </value>
        </values>
      </ddeItem>
      <ddeItem name="@CTA[8-2-1-6-1-6161,F,4,#6]" advise="1">
        <values>
          <value t="nil">
            <val>1</val>
          </value>
        </values>
      </ddeItem>
      <ddeItem name="@CTA[8-2-1-6-1-6161,F,5,#6]" advise="1">
        <values>
          <value t="nil">
            <val>1</val>
          </value>
        </values>
      </ddeItem>
      <ddeItem name="@CTA[8-2-1-6-1-6161,F,6,#6]" advise="1">
        <values>
          <value t="nil">
            <val>1</val>
          </value>
        </values>
      </ddeItem>
      <ddeItem name="@CTA[8-2-1-6-1-6161,F,7,#6]" advise="1">
        <values>
          <value>
            <val>0</val>
          </value>
        </values>
      </ddeItem>
      <ddeItem name="@CTA[8-2-1-6-1-6161,F,8,#6]" advise="1">
        <values>
          <value t="nil">
            <val>1</val>
          </value>
        </values>
      </ddeItem>
      <ddeItem name="@CTA[8-2-1-6-1-6161,F,9,#6]" advise="1">
        <values>
          <value>
            <val>6248527</val>
          </value>
        </values>
      </ddeItem>
      <ddeItem name="@CTA[8-2-1-6-1-6162,F,1,#6]" advise="1">
        <values>
          <value>
            <val>0</val>
          </value>
        </values>
      </ddeItem>
      <ddeItem name="@CTA[8-2-1-6-1-6162,F,2,#6]" advise="1">
        <values>
          <value t="nil">
            <val>1</val>
          </value>
        </values>
      </ddeItem>
      <ddeItem name="@CTA[8-2-1-6-1-6162,F,3,#6]" advise="1">
        <values>
          <value t="nil">
            <val>1</val>
          </value>
        </values>
      </ddeItem>
      <ddeItem name="@CTA[8-2-1-6-1-6162,F,4,#6]" advise="1">
        <values>
          <value t="nil">
            <val>1</val>
          </value>
        </values>
      </ddeItem>
      <ddeItem name="@CTA[8-2-1-6-1-6162,F,5,#6]" advise="1">
        <values>
          <value t="nil">
            <val>1</val>
          </value>
        </values>
      </ddeItem>
      <ddeItem name="@CTA[8-2-1-6-1-6162,F,6,#6]" advise="1">
        <values>
          <value t="nil">
            <val>1</val>
          </value>
        </values>
      </ddeItem>
      <ddeItem name="@CTA[8-2-1-6-1-6162,F,7,#6]" advise="1">
        <values>
          <value t="nil">
            <val>1</val>
          </value>
        </values>
      </ddeItem>
      <ddeItem name="@CTA[8-2-1-6-1-6162,F,8,#6]" advise="1">
        <values>
          <value t="nil">
            <val>1</val>
          </value>
        </values>
      </ddeItem>
      <ddeItem name="@CTA[8-2-1-6-1-6162,F,9,#6]" advise="1">
        <values>
          <value>
            <val>2016000</val>
          </value>
        </values>
      </ddeItem>
      <ddeItem name="@CTA[8-2-1-6-1-6171,F,1,#6]" advise="1">
        <values>
          <value>
            <val>0</val>
          </value>
        </values>
      </ddeItem>
      <ddeItem name="@CTA[8-2-1-6-1-6171,F,2,#6]" advise="1">
        <values>
          <value>
            <val>0</val>
          </value>
        </values>
      </ddeItem>
      <ddeItem name="@CTA[8-2-1-6-1-6171,F,3,#6]" advise="1">
        <values>
          <value t="nil">
            <val>1</val>
          </value>
        </values>
      </ddeItem>
      <ddeItem name="@CTA[8-2-1-6-1-6171,F,4,#6]" advise="1">
        <values>
          <value t="nil">
            <val>1</val>
          </value>
        </values>
      </ddeItem>
      <ddeItem name="@CTA[8-2-1-6-1-6171,F,5,#6]" advise="1">
        <values>
          <value t="nil">
            <val>1</val>
          </value>
        </values>
      </ddeItem>
      <ddeItem name="@CTA[8-2-1-6-1-6171,F,6,#6]" advise="1">
        <values>
          <value t="nil">
            <val>1</val>
          </value>
        </values>
      </ddeItem>
      <ddeItem name="@CTA[8-2-1-6-1-6171,F,7,#6]" advise="1">
        <values>
          <value t="nil">
            <val>1</val>
          </value>
        </values>
      </ddeItem>
      <ddeItem name="@CTA[8-2-1-6-1-6171,F,8,#6]" advise="1">
        <values>
          <value t="nil">
            <val>1</val>
          </value>
        </values>
      </ddeItem>
      <ddeItem name="@CTA[8-2-1-6-1-6171,F,9,#6]" advise="1">
        <values>
          <value>
            <val>1730000</val>
          </value>
        </values>
      </ddeItem>
      <ddeItem name="@CTA[8-2-1-6-2,F,#5]" advise="1">
        <values>
          <value t="nil">
            <val>1</val>
          </value>
        </values>
      </ddeItem>
      <ddeItem name="@CTA[8-2-1-6-2-6221,F,1,#6]" advise="1">
        <values>
          <value>
            <val>0</val>
          </value>
        </values>
      </ddeItem>
      <ddeItem name="@CTA[8-2-1-6-3,F,#5]" advise="1">
        <values>
          <value t="nil">
            <val>1</val>
          </value>
        </values>
      </ddeItem>
      <ddeItem name="@CTA[8-2-1-7,F,#4]" advise="1">
        <values>
          <value t="nil">
            <val>1</val>
          </value>
        </values>
      </ddeItem>
      <ddeItem name="@CTA[8-2-1-7-1,F,#5]" advise="1">
        <values>
          <value t="nil">
            <val>1</val>
          </value>
        </values>
      </ddeItem>
      <ddeItem name="@CTA[8-2-1-7-2,F,#5]" advise="1">
        <values>
          <value t="nil">
            <val>1</val>
          </value>
        </values>
      </ddeItem>
      <ddeItem name="@CTA[8-2-1-7-3,F,#5]" advise="1">
        <values>
          <value t="nil">
            <val>1</val>
          </value>
        </values>
      </ddeItem>
      <ddeItem name="@CTA[8-2-1-7-4,F,#5]" advise="1">
        <values>
          <value t="nil">
            <val>1</val>
          </value>
        </values>
      </ddeItem>
      <ddeItem name="@CTA[8-2-1-7-5,F,#5]" advise="1">
        <values>
          <value t="nil">
            <val>1</val>
          </value>
        </values>
      </ddeItem>
      <ddeItem name="@CTA[8-2-1-7-6,F,#5]" advise="1">
        <values>
          <value t="nil">
            <val>1</val>
          </value>
        </values>
      </ddeItem>
      <ddeItem name="@CTA[8-2-1-7-9,F,#5]" advise="1">
        <values>
          <value t="nil">
            <val>1</val>
          </value>
        </values>
      </ddeItem>
      <ddeItem name="@CTA[8-2-1-8,F,#4]" advise="1">
        <values>
          <value t="nil">
            <val>1</val>
          </value>
        </values>
      </ddeItem>
      <ddeItem name="@CTA[8-2-1-8-1,F,#5]" advise="1">
        <values>
          <value t="nil">
            <val>1</val>
          </value>
        </values>
      </ddeItem>
      <ddeItem name="@CTA[8-2-1-8-3,F,#5]" advise="1">
        <values>
          <value t="nil">
            <val>1</val>
          </value>
        </values>
      </ddeItem>
      <ddeItem name="@CTA[8-2-1-8-5,F,#5]" advise="1">
        <values>
          <value t="nil">
            <val>1</val>
          </value>
        </values>
      </ddeItem>
      <ddeItem name="@CTA[8-2-1-9,F,#4]" advise="1">
        <values>
          <value t="nil">
            <val>1</val>
          </value>
        </values>
      </ddeItem>
      <ddeItem name="@CTA[8-2-1-9-1,F,#5]" advise="1">
        <values>
          <value t="nil">
            <val>1</val>
          </value>
        </values>
      </ddeItem>
      <ddeItem name="@CTA[8-2-1-9-2,F,#5]" advise="1">
        <values>
          <value t="nil">
            <val>1</val>
          </value>
        </values>
      </ddeItem>
      <ddeItem name="@CTA[8-2-1-9-3,F,#5]" advise="1">
        <values>
          <value t="nil">
            <val>1</val>
          </value>
        </values>
      </ddeItem>
      <ddeItem name="@CTA[8-2-1-9-4,F,#5]" advise="1">
        <values>
          <value t="nil">
            <val>1</val>
          </value>
        </values>
      </ddeItem>
      <ddeItem name="@CTA[8-2-1-9-5,F,#5]" advise="1">
        <values>
          <value t="nil">
            <val>1</val>
          </value>
        </values>
      </ddeItem>
      <ddeItem name="@CTA[8-2-1-9-6,F,#5]" advise="1">
        <values>
          <value t="nil">
            <val>1</val>
          </value>
        </values>
      </ddeItem>
      <ddeItem name="@CTA[8-2-1-9-9,F,#5]" advise="1">
        <values>
          <value t="nil">
            <val>1</val>
          </value>
        </values>
      </ddeItem>
      <ddeItem name="@CTA[8-2-3-1,F,#4]" advise="1">
        <values>
          <value>
            <val>577140.59999999905</val>
          </value>
        </values>
      </ddeItem>
      <ddeItem name="@CTA[8-2-3-1-1,F,#5]" advise="1">
        <values>
          <value>
            <val>-1.1641532182693481E-10</val>
          </value>
        </values>
      </ddeItem>
      <ddeItem name="@CTA[8-2-3-1-1-1131,F,1,#6]" advise="1">
        <values>
          <value>
            <val>0</val>
          </value>
        </values>
      </ddeItem>
      <ddeItem name="@CTA[8-2-3-1-1-1131,F,2,#6]" advise="1">
        <values>
          <value>
            <val>0</val>
          </value>
        </values>
      </ddeItem>
      <ddeItem name="@CTA[8-2-3-1-1-1131,F,3,#6]" advise="1">
        <values>
          <value>
            <val>0</val>
          </value>
        </values>
      </ddeItem>
      <ddeItem name="@CTA[8-2-3-1-1-1131,F,4,#6]" advise="1">
        <values>
          <value>
            <val>0</val>
          </value>
        </values>
      </ddeItem>
      <ddeItem name="@CTA[8-2-3-1-1-1131,F,5,#6]" advise="1">
        <values>
          <value>
            <val>1.4551915228366852E-11</val>
          </value>
        </values>
      </ddeItem>
      <ddeItem name="@CTA[8-2-3-1-1-1131,F,6,#6]" advise="1">
        <values>
          <value>
            <val>0</val>
          </value>
        </values>
      </ddeItem>
      <ddeItem name="@CTA[8-2-3-1-1-1131,F,7,#6]" advise="1">
        <values>
          <value>
            <val>0</val>
          </value>
        </values>
      </ddeItem>
      <ddeItem name="@CTA[8-2-3-1-1-1131,F,8,#6]" advise="1">
        <values>
          <value>
            <val>0</val>
          </value>
        </values>
      </ddeItem>
      <ddeItem name="@CTA[8-2-3-1-1-1131,F,9,#6]" advise="1">
        <values>
          <value>
            <val>0</val>
          </value>
        </values>
      </ddeItem>
      <ddeItem name="@CTA[8-2-3-1-2,F,#5]" advise="1">
        <values>
          <value>
            <val>0</val>
          </value>
        </values>
      </ddeItem>
      <ddeItem name="@CTA[8-2-3-1-2-1211,F,1,#6]" advise="1">
        <values>
          <value t="nil">
            <val>1</val>
          </value>
        </values>
      </ddeItem>
      <ddeItem name="@CTA[8-2-3-1-2-1211,F,2,#6]" advise="1">
        <values>
          <value>
            <val>0</val>
          </value>
        </values>
      </ddeItem>
      <ddeItem name="@CTA[8-2-3-1-2-1211,F,3,#6]" advise="1">
        <values>
          <value>
            <val>0</val>
          </value>
        </values>
      </ddeItem>
      <ddeItem name="@CTA[8-2-3-1-2-1211,F,4,#6]" advise="1">
        <values>
          <value t="nil">
            <val>1</val>
          </value>
        </values>
      </ddeItem>
      <ddeItem name="@CTA[8-2-3-1-2-1211,F,5,#6]" advise="1">
        <values>
          <value t="nil">
            <val>1</val>
          </value>
        </values>
      </ddeItem>
      <ddeItem name="@CTA[8-2-3-1-2-1211,F,6,#6]" advise="1">
        <values>
          <value>
            <val>0</val>
          </value>
        </values>
      </ddeItem>
      <ddeItem name="@CTA[8-2-3-1-2-1211,F,7,#6]" advise="1">
        <values>
          <value t="nil">
            <val>1</val>
          </value>
        </values>
      </ddeItem>
      <ddeItem name="@CTA[8-2-3-1-2-1211,F,8,#6]" advise="1">
        <values>
          <value t="nil">
            <val>1</val>
          </value>
        </values>
      </ddeItem>
      <ddeItem name="@CTA[8-2-3-1-2-1211,F,9,#6]" advise="1">
        <values>
          <value t="nil">
            <val>1</val>
          </value>
        </values>
      </ddeItem>
      <ddeItem name="@CTA[8-2-3-1-2-1221,F,1,#6]" advise="1">
        <values>
          <value t="nil">
            <val>1</val>
          </value>
        </values>
      </ddeItem>
      <ddeItem name="@CTA[8-2-3-1-2-1221,F,2,#6]" advise="1">
        <values>
          <value>
            <val>0</val>
          </value>
        </values>
      </ddeItem>
      <ddeItem name="@CTA[8-2-3-1-2-1221,F,3,#6]" advise="1">
        <values>
          <value>
            <val>0</val>
          </value>
        </values>
      </ddeItem>
      <ddeItem name="@CTA[8-2-3-1-2-1221,F,4,#6]" advise="1">
        <values>
          <value t="nil">
            <val>1</val>
          </value>
        </values>
      </ddeItem>
      <ddeItem name="@CTA[8-2-3-1-2-1221,F,5,#6]" advise="1">
        <values>
          <value t="nil">
            <val>1</val>
          </value>
        </values>
      </ddeItem>
      <ddeItem name="@CTA[8-2-3-1-2-1221,F,6,#6]" advise="1">
        <values>
          <value t="nil">
            <val>1</val>
          </value>
        </values>
      </ddeItem>
      <ddeItem name="@CTA[8-2-3-1-2-1221,F,7,#6]" advise="1">
        <values>
          <value t="nil">
            <val>1</val>
          </value>
        </values>
      </ddeItem>
      <ddeItem name="@CTA[8-2-3-1-2-1221,F,8,#6]" advise="1">
        <values>
          <value t="nil">
            <val>1</val>
          </value>
        </values>
      </ddeItem>
      <ddeItem name="@CTA[8-2-3-1-2-1221,F,9,#6]" advise="1">
        <values>
          <value t="nil">
            <val>1</val>
          </value>
        </values>
      </ddeItem>
      <ddeItem name="@CTA[8-2-3-1-3,F,#5]" advise="1">
        <values>
          <value>
            <val>165858.89000000025</val>
          </value>
        </values>
      </ddeItem>
      <ddeItem name="@CTA[8-2-3-1-3-1311,F,1,#6]" advise="1">
        <values>
          <value>
            <val>0</val>
          </value>
        </values>
      </ddeItem>
      <ddeItem name="@CTA[8-2-3-1-3-1311,F,2,#6]" advise="1">
        <values>
          <value>
            <val>0</val>
          </value>
        </values>
      </ddeItem>
      <ddeItem name="@CTA[8-2-3-1-3-1311,F,3,#6]" advise="1">
        <values>
          <value>
            <val>0</val>
          </value>
        </values>
      </ddeItem>
      <ddeItem name="@CTA[8-2-3-1-3-1311,F,4,#6]" advise="1">
        <values>
          <value>
            <val>0</val>
          </value>
        </values>
      </ddeItem>
      <ddeItem name="@CTA[8-2-3-1-3-1311,F,5,#6]" advise="1">
        <values>
          <value>
            <val>165858.89000000001</val>
          </value>
        </values>
      </ddeItem>
      <ddeItem name="@CTA[8-2-3-1-3-1311,F,6,#6]" advise="1">
        <values>
          <value>
            <val>0</val>
          </value>
        </values>
      </ddeItem>
      <ddeItem name="@CTA[8-2-3-1-3-1311,F,7,#6]" advise="1">
        <values>
          <value>
            <val>0</val>
          </value>
        </values>
      </ddeItem>
      <ddeItem name="@CTA[8-2-3-1-3-1311,F,8,#6]" advise="1">
        <values>
          <value>
            <val>0</val>
          </value>
        </values>
      </ddeItem>
      <ddeItem name="@CTA[8-2-3-1-3-1311,F,9,#6]" advise="1">
        <values>
          <value>
            <val>0</val>
          </value>
        </values>
      </ddeItem>
      <ddeItem name="@CTA[8-2-3-1-3-1321,F,1,#6]" advise="1">
        <values>
          <value>
            <val>0</val>
          </value>
        </values>
      </ddeItem>
      <ddeItem name="@CTA[8-2-3-1-3-1321,F,2,#6]" advise="1">
        <values>
          <value>
            <val>0</val>
          </value>
        </values>
      </ddeItem>
      <ddeItem name="@CTA[8-2-3-1-3-1321,F,3,#6]" advise="1">
        <values>
          <value>
            <val>-1.8189894035458565E-12</val>
          </value>
        </values>
      </ddeItem>
      <ddeItem name="@CTA[8-2-3-1-3-1321,F,4,#6]" advise="1">
        <values>
          <value t="nil">
            <val>1</val>
          </value>
        </values>
      </ddeItem>
      <ddeItem name="@CTA[8-2-3-1-3-1321,F,5,#6]" advise="1">
        <values>
          <value>
            <val>0</val>
          </value>
        </values>
      </ddeItem>
      <ddeItem name="@CTA[8-2-3-1-3-1321,F,6,#6]" advise="1">
        <values>
          <value>
            <val>0</val>
          </value>
        </values>
      </ddeItem>
      <ddeItem name="@CTA[8-2-3-1-3-1321,F,7,#6]" advise="1">
        <values>
          <value>
            <val>0</val>
          </value>
        </values>
      </ddeItem>
      <ddeItem name="@CTA[8-2-3-1-3-1321,F,8,#6]" advise="1">
        <values>
          <value>
            <val>-1.1368683772161603E-13</val>
          </value>
        </values>
      </ddeItem>
      <ddeItem name="@CTA[8-2-3-1-3-1321,F,9,#6]" advise="1">
        <values>
          <value>
            <val>0</val>
          </value>
        </values>
      </ddeItem>
      <ddeItem name="@CTA[8-2-3-1-3-1322,F,1,#6]" advise="1">
        <values>
          <value>
            <val>0</val>
          </value>
        </values>
      </ddeItem>
      <ddeItem name="@CTA[8-2-3-1-3-1322,F,2,#6]" advise="1">
        <values>
          <value>
            <val>0</val>
          </value>
        </values>
      </ddeItem>
      <ddeItem name="@CTA[8-2-3-1-3-1322,F,3,#6]" advise="1">
        <values>
          <value>
            <val>0</val>
          </value>
        </values>
      </ddeItem>
      <ddeItem name="@CTA[8-2-3-1-3-1322,F,4,#6]" advise="1">
        <values>
          <value>
            <val>0</val>
          </value>
        </values>
      </ddeItem>
      <ddeItem name="@CTA[8-2-3-1-3-1322,F,5,#6]" advise="1">
        <values>
          <value>
            <val>0</val>
          </value>
        </values>
      </ddeItem>
      <ddeItem name="@CTA[8-2-3-1-3-1322,F,6,#6]" advise="1">
        <values>
          <value>
            <val>0</val>
          </value>
        </values>
      </ddeItem>
      <ddeItem name="@CTA[8-2-3-1-3-1322,F,7,#6]" advise="1">
        <values>
          <value>
            <val>2.1849189124623081E-13</val>
          </value>
        </values>
      </ddeItem>
      <ddeItem name="@CTA[8-2-3-1-3-1322,F,8,#6]" advise="1">
        <values>
          <value>
            <val>0</val>
          </value>
        </values>
      </ddeItem>
      <ddeItem name="@CTA[8-2-3-1-3-1322,F,9,#6]" advise="1">
        <values>
          <value>
            <val>0</val>
          </value>
        </values>
      </ddeItem>
      <ddeItem name="@CTA[8-2-3-1-3-1323,F,1,#6]" advise="1">
        <values>
          <value>
            <val>-1.4551915228366852E-11</val>
          </value>
        </values>
      </ddeItem>
      <ddeItem name="@CTA[8-2-3-1-3-1323,F,2,#6]" advise="1">
        <values>
          <value>
            <val>0</val>
          </value>
        </values>
      </ddeItem>
      <ddeItem name="@CTA[8-2-3-1-3-1323,F,3,#6]" advise="1">
        <values>
          <value>
            <val>0</val>
          </value>
        </values>
      </ddeItem>
      <ddeItem name="@CTA[8-2-3-1-3-1323,F,4,#6]" advise="1">
        <values>
          <value>
            <val>0</val>
          </value>
        </values>
      </ddeItem>
      <ddeItem name="@CTA[8-2-3-1-3-1323,F,5,#6]" advise="1">
        <values>
          <value>
            <val>0</val>
          </value>
        </values>
      </ddeItem>
      <ddeItem name="@CTA[8-2-3-1-3-1323,F,6,#6]" advise="1">
        <values>
          <value>
            <val>0</val>
          </value>
        </values>
      </ddeItem>
      <ddeItem name="@CTA[8-2-3-1-3-1323,F,7,#6]" advise="1">
        <values>
          <value>
            <val>0</val>
          </value>
        </values>
      </ddeItem>
      <ddeItem name="@CTA[8-2-3-1-3-1323,F,8,#6]" advise="1">
        <values>
          <value>
            <val>0</val>
          </value>
        </values>
      </ddeItem>
      <ddeItem name="@CTA[8-2-3-1-3-1323,F,9,#6]" advise="1">
        <values>
          <value>
            <val>0</val>
          </value>
        </values>
      </ddeItem>
      <ddeItem name="@CTA[8-2-3-1-3-1331,F,1,#6]" advise="1">
        <values>
          <value>
            <val>0</val>
          </value>
        </values>
      </ddeItem>
      <ddeItem name="@CTA[8-2-3-1-3-1331,F,2,#6]" advise="1">
        <values>
          <value t="nil">
            <val>1</val>
          </value>
        </values>
      </ddeItem>
      <ddeItem name="@CTA[8-2-3-1-3-1331,F,3,#6]" advise="1">
        <values>
          <value>
            <val>0</val>
          </value>
        </values>
      </ddeItem>
      <ddeItem name="@CTA[8-2-3-1-3-1331,F,4,#6]" advise="1">
        <values>
          <value>
            <val>0</val>
          </value>
        </values>
      </ddeItem>
      <ddeItem name="@CTA[8-2-3-1-3-1331,F,5,#6]" advise="1">
        <values>
          <value>
            <val>0</val>
          </value>
        </values>
      </ddeItem>
      <ddeItem name="@CTA[8-2-3-1-3-1331,F,6,#6]" advise="1">
        <values>
          <value t="nil">
            <val>1</val>
          </value>
        </values>
      </ddeItem>
      <ddeItem name="@CTA[8-2-3-1-3-1331,F,7,#6]" advise="1">
        <values>
          <value>
            <val>0</val>
          </value>
        </values>
      </ddeItem>
      <ddeItem name="@CTA[8-2-3-1-3-1331,F,8,#6]" advise="1">
        <values>
          <value t="nil">
            <val>1</val>
          </value>
        </values>
      </ddeItem>
      <ddeItem name="@CTA[8-2-3-1-3-1331,F,9,#6]" advise="1">
        <values>
          <value t="nil">
            <val>1</val>
          </value>
        </values>
      </ddeItem>
      <ddeItem name="@CTA[8-2-3-1-3-1341,F,1,#6]" advise="1">
        <values>
          <value>
            <val>0</val>
          </value>
        </values>
      </ddeItem>
      <ddeItem name="@CTA[8-2-3-1-3-1341,F,2,#6]" advise="1">
        <values>
          <value>
            <val>0</val>
          </value>
        </values>
      </ddeItem>
      <ddeItem name="@CTA[8-2-3-1-3-1341,F,3,#6]" advise="1">
        <values>
          <value>
            <val>0</val>
          </value>
        </values>
      </ddeItem>
      <ddeItem name="@CTA[8-2-3-1-3-1341,F,4,#6]" advise="1">
        <values>
          <value>
            <val>0</val>
          </value>
        </values>
      </ddeItem>
      <ddeItem name="@CTA[8-2-3-1-3-1341,F,5,#6]" advise="1">
        <values>
          <value>
            <val>0</val>
          </value>
        </values>
      </ddeItem>
      <ddeItem name="@CTA[8-2-3-1-3-1341,F,6,#6]" advise="1">
        <values>
          <value>
            <val>0</val>
          </value>
        </values>
      </ddeItem>
      <ddeItem name="@CTA[8-2-3-1-3-1341,F,7,#6]" advise="1">
        <values>
          <value>
            <val>0</val>
          </value>
        </values>
      </ddeItem>
      <ddeItem name="@CTA[8-2-3-1-3-1341,F,8,#6]" advise="1">
        <values>
          <value>
            <val>0</val>
          </value>
        </values>
      </ddeItem>
      <ddeItem name="@CTA[8-2-3-1-3-1341,F,9,#6]" advise="1">
        <values>
          <value>
            <val>0</val>
          </value>
        </values>
      </ddeItem>
      <ddeItem name="@CTA[8-2-3-1-4,F,#5]" advise="1">
        <values>
          <value>
            <val>277140.60000000003</val>
          </value>
        </values>
      </ddeItem>
      <ddeItem name="@CTA[8-2-3-1-4-1411,F,1,#6]" advise="1">
        <values>
          <value>
            <val>37001.64</val>
          </value>
        </values>
      </ddeItem>
      <ddeItem name="@CTA[8-2-3-1-4-1411,F,2,#6]" advise="1">
        <values>
          <value>
            <val>4748.03</val>
          </value>
        </values>
      </ddeItem>
      <ddeItem name="@CTA[8-2-3-1-4-1411,F,3,#6]" advise="1">
        <values>
          <value>
            <val>12265.219999999992</val>
          </value>
        </values>
      </ddeItem>
      <ddeItem name="@CTA[8-2-3-1-4-1411,F,4,#6]" advise="1">
        <values>
          <value>
            <val>7666.39</val>
          </value>
        </values>
      </ddeItem>
      <ddeItem name="@CTA[8-2-3-1-4-1411,F,5,#6]" advise="1">
        <values>
          <value>
            <val>11122.07</val>
          </value>
        </values>
      </ddeItem>
      <ddeItem name="@CTA[8-2-3-1-4-1411,F,6,#6]" advise="1">
        <values>
          <value>
            <val>2791.37</val>
          </value>
        </values>
      </ddeItem>
      <ddeItem name="@CTA[8-2-3-1-4-1411,F,7,#6]" advise="1">
        <values>
          <value>
            <val>9326.32</val>
          </value>
        </values>
      </ddeItem>
      <ddeItem name="@CTA[8-2-3-1-4-1411,F,8,#6]" advise="1">
        <values>
          <value>
            <val>2636.89</val>
          </value>
        </values>
      </ddeItem>
      <ddeItem name="@CTA[8-2-3-1-4-1411,F,9,#6]" advise="1">
        <values>
          <value>
            <val>7703.65</val>
          </value>
        </values>
      </ddeItem>
      <ddeItem name="@CTA[8-2-3-1-4-1421,F,1,#6]" advise="1">
        <values>
          <value>
            <val>31477.83</val>
          </value>
        </values>
      </ddeItem>
      <ddeItem name="@CTA[8-2-3-1-4-1421,F,2,#6]" advise="1">
        <values>
          <value>
            <val>6174.64</val>
          </value>
        </values>
      </ddeItem>
      <ddeItem name="@CTA[8-2-3-1-4-1421,F,3,#6]" advise="1">
        <values>
          <value>
            <val>11223.57</val>
          </value>
        </values>
      </ddeItem>
      <ddeItem name="@CTA[8-2-3-1-4-1421,F,4,#6]" advise="1">
        <values>
          <value>
            <val>7701.28</val>
          </value>
        </values>
      </ddeItem>
      <ddeItem name="@CTA[8-2-3-1-4-1421,F,5,#6]" advise="1">
        <values>
          <value>
            <val>9586.4500000000007</val>
          </value>
        </values>
      </ddeItem>
      <ddeItem name="@CTA[8-2-3-1-4-1421,F,6,#6]" advise="1">
        <values>
          <value>
            <val>3134.21</val>
          </value>
        </values>
      </ddeItem>
      <ddeItem name="@CTA[8-2-3-1-4-1421,F,7,#6]" advise="1">
        <values>
          <value>
            <val>8447.75</val>
          </value>
        </values>
      </ddeItem>
      <ddeItem name="@CTA[8-2-3-1-4-1421,F,8,#6]" advise="1">
        <values>
          <value>
            <val>4828.13</val>
          </value>
        </values>
      </ddeItem>
      <ddeItem name="@CTA[8-2-3-1-4-1421,F,9,#6]" advise="1">
        <values>
          <value>
            <val>7247.08</val>
          </value>
        </values>
      </ddeItem>
      <ddeItem name="@CTA[8-2-3-1-4-1431,F,1,#6]" advise="1">
        <values>
          <value>
            <val>32422.12</val>
          </value>
        </values>
      </ddeItem>
      <ddeItem name="@CTA[8-2-3-1-4-1431,F,2,#6]" advise="1">
        <values>
          <value>
            <val>6359.87</val>
          </value>
        </values>
      </ddeItem>
      <ddeItem name="@CTA[8-2-3-1-4-1431,F,3,#6]" advise="1">
        <values>
          <value>
            <val>11170.55</val>
          </value>
        </values>
      </ddeItem>
      <ddeItem name="@CTA[8-2-3-1-4-1431,F,4,#6]" advise="1">
        <values>
          <value>
            <val>7932.32</val>
          </value>
        </values>
      </ddeItem>
      <ddeItem name="@CTA[8-2-3-1-4-1431,F,5,#6]" advise="1">
        <values>
          <value>
            <val>9874.0900000000038</val>
          </value>
        </values>
      </ddeItem>
      <ddeItem name="@CTA[8-2-3-1-4-1431,F,6,#6]" advise="1">
        <values>
          <value>
            <val>3228.24</val>
          </value>
        </values>
      </ddeItem>
      <ddeItem name="@CTA[8-2-3-1-4-1431,F,7,#6]" advise="1">
        <values>
          <value>
            <val>8701.2000000000007</val>
          </value>
        </values>
      </ddeItem>
      <ddeItem name="@CTA[8-2-3-1-4-1431,F,8,#6]" advise="1">
        <values>
          <value>
            <val>4905.21</val>
          </value>
        </values>
      </ddeItem>
      <ddeItem name="@CTA[8-2-3-1-4-1431,F,9,#6]" advise="1">
        <values>
          <value>
            <val>7464.48</val>
          </value>
        </values>
      </ddeItem>
      <ddeItem name="@CTA[8-2-3-1-4-1441,F,1,#6]" advise="1">
        <values>
          <value>
            <val>0</val>
          </value>
        </values>
      </ddeItem>
      <ddeItem name="@CTA[8-2-3-1-4-1441,F,2,#6]" advise="1">
        <values>
          <value>
            <val>0</val>
          </value>
        </values>
      </ddeItem>
      <ddeItem name="@CTA[8-2-3-1-4-1441,F,3,#6]" advise="1">
        <values>
          <value>
            <val>0</val>
          </value>
        </values>
      </ddeItem>
      <ddeItem name="@CTA[8-2-3-1-4-1441,F,4,#6]" advise="1">
        <values>
          <value>
            <val>0</val>
          </value>
        </values>
      </ddeItem>
      <ddeItem name="@CTA[8-2-3-1-4-1441,F,5,#6]" advise="1">
        <values>
          <value>
            <val>0</val>
          </value>
        </values>
      </ddeItem>
      <ddeItem name="@CTA[8-2-3-1-4-1441,F,6,#6]" advise="1">
        <values>
          <value>
            <val>0</val>
          </value>
        </values>
      </ddeItem>
      <ddeItem name="@CTA[8-2-3-1-4-1441,F,7,#6]" advise="1">
        <values>
          <value>
            <val>0</val>
          </value>
        </values>
      </ddeItem>
      <ddeItem name="@CTA[8-2-3-1-4-1441,F,8,#6]" advise="1">
        <values>
          <value>
            <val>0</val>
          </value>
        </values>
      </ddeItem>
      <ddeItem name="@CTA[8-2-3-1-4-1441,F,9,#6]" advise="1">
        <values>
          <value>
            <val>0</val>
          </value>
        </values>
      </ddeItem>
      <ddeItem name="@CTA[8-2-3-1-5,F,#5]" advise="1">
        <values>
          <value>
            <val>134141.11000000004</val>
          </value>
        </values>
      </ddeItem>
      <ddeItem name="@CTA[8-2-3-1-5-1521,F,1,#6]" advise="1">
        <values>
          <value>
            <val>0</val>
          </value>
        </values>
      </ddeItem>
      <ddeItem name="@CTA[8-2-3-1-5-1521,F,2,#6]" advise="1">
        <values>
          <value>
            <val>0</val>
          </value>
        </values>
      </ddeItem>
      <ddeItem name="@CTA[8-2-3-1-5-1521,F,3,#6]" advise="1">
        <values>
          <value>
            <val>0</val>
          </value>
        </values>
      </ddeItem>
      <ddeItem name="@CTA[8-2-3-1-5-1521,F,4,#6]" advise="1">
        <values>
          <value>
            <val>0</val>
          </value>
        </values>
      </ddeItem>
      <ddeItem name="@CTA[8-2-3-1-5-1521,F,5,#6]" advise="1">
        <values>
          <value>
            <val>0</val>
          </value>
        </values>
      </ddeItem>
      <ddeItem name="@CTA[8-2-3-1-5-1521,F,6,#6]" advise="1">
        <values>
          <value t="nil">
            <val>1</val>
          </value>
        </values>
      </ddeItem>
      <ddeItem name="@CTA[8-2-3-1-5-1521,F,7,#6]" advise="1">
        <values>
          <value>
            <val>0</val>
          </value>
        </values>
      </ddeItem>
      <ddeItem name="@CTA[8-2-3-1-5-1521,F,8,#6]" advise="1">
        <values>
          <value>
            <val>0</val>
          </value>
        </values>
      </ddeItem>
      <ddeItem name="@CTA[8-2-3-1-5-1521,F,9,#6]" advise="1">
        <values>
          <value>
            <val>0</val>
          </value>
        </values>
      </ddeItem>
      <ddeItem name="@CTA[8-2-3-1-5-1522,F,1,#6]" advise="1">
        <values>
          <value t="nil">
            <val>1</val>
          </value>
        </values>
      </ddeItem>
      <ddeItem name="@CTA[8-2-3-1-5-1522,F,2,#6]" advise="1">
        <values>
          <value>
            <val>0</val>
          </value>
        </values>
      </ddeItem>
      <ddeItem name="@CTA[8-2-3-1-5-1522,F,3,#6]" advise="1">
        <values>
          <value>
            <val>134141.10999999999</val>
          </value>
        </values>
      </ddeItem>
      <ddeItem name="@CTA[8-2-3-1-5-1522,F,4,#6]" advise="1">
        <values>
          <value t="nil">
            <val>1</val>
          </value>
        </values>
      </ddeItem>
      <ddeItem name="@CTA[8-2-3-1-5-1522,F,5,#6]" advise="1">
        <values>
          <value t="nil">
            <val>1</val>
          </value>
        </values>
      </ddeItem>
      <ddeItem name="@CTA[8-2-3-1-5-1522,F,6,#6]" advise="1">
        <values>
          <value t="nil">
            <val>1</val>
          </value>
        </values>
      </ddeItem>
      <ddeItem name="@CTA[8-2-3-1-5-1522,F,7,#6]" advise="1">
        <values>
          <value t="nil">
            <val>1</val>
          </value>
        </values>
      </ddeItem>
      <ddeItem name="@CTA[8-2-3-1-5-1522,F,8,#6]" advise="1">
        <values>
          <value t="nil">
            <val>1</val>
          </value>
        </values>
      </ddeItem>
      <ddeItem name="@CTA[8-2-3-1-5-1522,F,9,#6]" advise="1">
        <values>
          <value t="nil">
            <val>1</val>
          </value>
        </values>
      </ddeItem>
      <ddeItem name="@CTA[8-2-3-1-5-1541,F,1,#6]" advise="1">
        <values>
          <value>
            <val>0</val>
          </value>
        </values>
      </ddeItem>
      <ddeItem name="@CTA[8-2-3-1-5-1541,F,2,#6]" advise="1">
        <values>
          <value>
            <val>0</val>
          </value>
        </values>
      </ddeItem>
      <ddeItem name="@CTA[8-2-3-1-5-1541,F,3,#6]" advise="1">
        <values>
          <value>
            <val>0</val>
          </value>
        </values>
      </ddeItem>
      <ddeItem name="@CTA[8-2-3-1-5-1541,F,4,#6]" advise="1">
        <values>
          <value>
            <val>0</val>
          </value>
        </values>
      </ddeItem>
      <ddeItem name="@CTA[8-2-3-1-5-1541,F,5,#6]" advise="1">
        <values>
          <value>
            <val>0</val>
          </value>
        </values>
      </ddeItem>
      <ddeItem name="@CTA[8-2-3-1-5-1541,F,6,#6]" advise="1">
        <values>
          <value>
            <val>0</val>
          </value>
        </values>
      </ddeItem>
      <ddeItem name="@CTA[8-2-3-1-5-1541,F,7,#6]" advise="1">
        <values>
          <value>
            <val>0</val>
          </value>
        </values>
      </ddeItem>
      <ddeItem name="@CTA[8-2-3-1-5-1541,F,8,#6]" advise="1">
        <values>
          <value>
            <val>0</val>
          </value>
        </values>
      </ddeItem>
      <ddeItem name="@CTA[8-2-3-1-5-1541,F,9,#6]" advise="1">
        <values>
          <value>
            <val>0</val>
          </value>
        </values>
      </ddeItem>
      <ddeItem name="@CTA[8-2-3-1-5-1542,F,1,#6]" advise="1">
        <values>
          <value>
            <val>0</val>
          </value>
        </values>
      </ddeItem>
      <ddeItem name="@CTA[8-2-3-1-5-1542,F,2,#6]" advise="1">
        <values>
          <value>
            <val>0</val>
          </value>
        </values>
      </ddeItem>
      <ddeItem name="@CTA[8-2-3-1-5-1542,F,3,#6]" advise="1">
        <values>
          <value>
            <val>0</val>
          </value>
        </values>
      </ddeItem>
      <ddeItem name="@CTA[8-2-3-1-5-1542,F,4,#6]" advise="1">
        <values>
          <value>
            <val>0</val>
          </value>
        </values>
      </ddeItem>
      <ddeItem name="@CTA[8-2-3-1-5-1542,F,5,#6]" advise="1">
        <values>
          <value>
            <val>0</val>
          </value>
        </values>
      </ddeItem>
      <ddeItem name="@CTA[8-2-3-1-5-1542,F,6,#6]" advise="1">
        <values>
          <value>
            <val>0</val>
          </value>
        </values>
      </ddeItem>
      <ddeItem name="@CTA[8-2-3-1-5-1542,F,7,#6]" advise="1">
        <values>
          <value>
            <val>0</val>
          </value>
        </values>
      </ddeItem>
      <ddeItem name="@CTA[8-2-3-1-5-1542,F,8,#6]" advise="1">
        <values>
          <value>
            <val>0</val>
          </value>
        </values>
      </ddeItem>
      <ddeItem name="@CTA[8-2-3-1-5-1542,F,9,#6]" advise="1">
        <values>
          <value>
            <val>0</val>
          </value>
        </values>
      </ddeItem>
      <ddeItem name="@CTA[8-2-3-1-5-1543,F,1,#6]" advise="1">
        <values>
          <value>
            <val>0</val>
          </value>
        </values>
      </ddeItem>
      <ddeItem name="@CTA[8-2-3-1-5-1543,F,2,#6]" advise="1">
        <values>
          <value>
            <val>0</val>
          </value>
        </values>
      </ddeItem>
      <ddeItem name="@CTA[8-2-3-1-5-1543,F,3,#6]" advise="1">
        <values>
          <value>
            <val>0</val>
          </value>
        </values>
      </ddeItem>
      <ddeItem name="@CTA[8-2-3-1-5-1543,F,4,#6]" advise="1">
        <values>
          <value t="nil">
            <val>1</val>
          </value>
        </values>
      </ddeItem>
      <ddeItem name="@CTA[8-2-3-1-5-1543,F,5,#6]" advise="1">
        <values>
          <value>
            <val>0</val>
          </value>
        </values>
      </ddeItem>
      <ddeItem name="@CTA[8-2-3-1-5-1543,F,6,#6]" advise="1">
        <values>
          <value t="nil">
            <val>1</val>
          </value>
        </values>
      </ddeItem>
      <ddeItem name="@CTA[8-2-3-1-5-1543,F,7,#6]" advise="1">
        <values>
          <value t="nil">
            <val>1</val>
          </value>
        </values>
      </ddeItem>
      <ddeItem name="@CTA[8-2-3-1-5-1543,F,8,#6]" advise="1">
        <values>
          <value t="nil">
            <val>1</val>
          </value>
        </values>
      </ddeItem>
      <ddeItem name="@CTA[8-2-3-1-5-1543,F,9,#6]" advise="1">
        <values>
          <value t="nil">
            <val>1</val>
          </value>
        </values>
      </ddeItem>
      <ddeItem name="@CTA[8-2-3-1-5-1544,F,1,#6]" advise="1">
        <values>
          <value>
            <val>0</val>
          </value>
        </values>
      </ddeItem>
      <ddeItem name="@CTA[8-2-3-1-5-1544,F,2,#6]" advise="1">
        <values>
          <value t="nil">
            <val>1</val>
          </value>
        </values>
      </ddeItem>
      <ddeItem name="@CTA[8-2-3-1-5-1544,F,3,#6]" advise="1">
        <values>
          <value>
            <val>0</val>
          </value>
        </values>
      </ddeItem>
      <ddeItem name="@CTA[8-2-3-1-5-1544,F,4,#6]" advise="1">
        <values>
          <value t="nil">
            <val>1</val>
          </value>
        </values>
      </ddeItem>
      <ddeItem name="@CTA[8-2-3-1-5-1544,F,5,#6]" advise="1">
        <values>
          <value>
            <val>0</val>
          </value>
        </values>
      </ddeItem>
      <ddeItem name="@CTA[8-2-3-1-5-1544,F,6,#6]" advise="1">
        <values>
          <value t="nil">
            <val>1</val>
          </value>
        </values>
      </ddeItem>
      <ddeItem name="@CTA[8-2-3-1-5-1544,F,7,#6]" advise="1">
        <values>
          <value>
            <val>0</val>
          </value>
        </values>
      </ddeItem>
      <ddeItem name="@CTA[8-2-3-1-5-1544,F,8,#6]" advise="1">
        <values>
          <value t="nil">
            <val>1</val>
          </value>
        </values>
      </ddeItem>
      <ddeItem name="@CTA[8-2-3-1-5-1544,F,9,#6]" advise="1">
        <values>
          <value t="nil">
            <val>1</val>
          </value>
        </values>
      </ddeItem>
      <ddeItem name="@CTA[8-2-3-1-6,F,#5]" advise="1">
        <values>
          <value t="nil">
            <val>1</val>
          </value>
        </values>
      </ddeItem>
      <ddeItem name="@CTA[8-2-3-1-7,F,#5]" advise="1">
        <values>
          <value t="nil">
            <val>1</val>
          </value>
        </values>
      </ddeItem>
      <ddeItem name="@CTA[8-2-3-2,F,#4]" advise="1">
        <values>
          <value>
            <val>-3799.8999999990688</val>
          </value>
        </values>
      </ddeItem>
      <ddeItem name="@CTA[8-2-3-2-1,F,#5]" advise="1">
        <values>
          <value>
            <val>6.0000000029103828E-2</val>
          </value>
        </values>
      </ddeItem>
      <ddeItem name="@CTA[8-2-3-2-1-2111,F,1,#6]" advise="1">
        <values>
          <value>
            <val>0</val>
          </value>
        </values>
      </ddeItem>
      <ddeItem name="@CTA[8-2-3-2-1-2111,F,2,#6]" advise="1">
        <values>
          <value>
            <val>1.8189894035458565E-12</val>
          </value>
        </values>
      </ddeItem>
      <ddeItem name="@CTA[8-2-3-2-1-2111,F,3,#6]" advise="1">
        <values>
          <value>
            <val>0</val>
          </value>
        </values>
      </ddeItem>
      <ddeItem name="@CTA[8-2-3-2-1-2111,F,4,#6]" advise="1">
        <values>
          <value>
            <val>0</val>
          </value>
        </values>
      </ddeItem>
      <ddeItem name="@CTA[8-2-3-2-1-2111,F,5,#6]" advise="1">
        <values>
          <value>
            <val>-1.8189894035458565E-12</val>
          </value>
        </values>
      </ddeItem>
      <ddeItem name="@CTA[8-2-3-2-1-2111,F,6,#6]" advise="1">
        <values>
          <value>
            <val>0</val>
          </value>
        </values>
      </ddeItem>
      <ddeItem name="@CTA[8-2-3-2-1-2111,F,7,#6]" advise="1">
        <values>
          <value>
            <val>0</val>
          </value>
        </values>
      </ddeItem>
      <ddeItem name="@CTA[8-2-3-2-1-2111,F,8,#6]" advise="1">
        <values>
          <value>
            <val>0.06</val>
          </value>
        </values>
      </ddeItem>
      <ddeItem name="@CTA[8-2-3-2-1-2111,F,9,#6]" advise="1">
        <values>
          <value>
            <val>0</val>
          </value>
        </values>
      </ddeItem>
      <ddeItem name="@CTA[8-2-3-2-1-2121,F,1,#6]" advise="1">
        <values>
          <value>
            <val>0</val>
          </value>
        </values>
      </ddeItem>
      <ddeItem name="@CTA[8-2-3-2-1-2121,F,2,#6]" advise="1">
        <values>
          <value>
            <val>0</val>
          </value>
        </values>
      </ddeItem>
      <ddeItem name="@CTA[8-2-3-2-1-2121,F,3,#6]" advise="1">
        <values>
          <value>
            <val>0</val>
          </value>
        </values>
      </ddeItem>
      <ddeItem name="@CTA[8-2-3-2-1-2121,F,4,#6]" advise="1">
        <values>
          <value>
            <val>0</val>
          </value>
        </values>
      </ddeItem>
      <ddeItem name="@CTA[8-2-3-2-1-2121,F,5,#6]" advise="1">
        <values>
          <value>
            <val>0</val>
          </value>
        </values>
      </ddeItem>
      <ddeItem name="@CTA[8-2-3-2-1-2121,F,6,#6]" advise="1">
        <values>
          <value>
            <val>0</val>
          </value>
        </values>
      </ddeItem>
      <ddeItem name="@CTA[8-2-3-2-1-2121,F,7,#6]" advise="1">
        <values>
          <value>
            <val>0</val>
          </value>
        </values>
      </ddeItem>
      <ddeItem name="@CTA[8-2-3-2-1-2121,F,8,#6]" advise="1">
        <values>
          <value>
            <val>0</val>
          </value>
        </values>
      </ddeItem>
      <ddeItem name="@CTA[8-2-3-2-1-2121,F,9,#6]" advise="1">
        <values>
          <value>
            <val>0</val>
          </value>
        </values>
      </ddeItem>
      <ddeItem name="@CTA[8-2-3-2-1-2131,F,1,#6]" advise="1">
        <values>
          <value t="nil">
            <val>1</val>
          </value>
        </values>
      </ddeItem>
      <ddeItem name="@CTA[8-2-3-2-1-2131,F,2,#6]" advise="1">
        <values>
          <value t="nil">
            <val>1</val>
          </value>
        </values>
      </ddeItem>
      <ddeItem name="@CTA[8-2-3-2-1-2131,F,3,#6]" advise="1">
        <values>
          <value t="nil">
            <val>1</val>
          </value>
        </values>
      </ddeItem>
      <ddeItem name="@CTA[8-2-3-2-1-2131,F,4,#6]" advise="1">
        <values>
          <value t="nil">
            <val>1</val>
          </value>
        </values>
      </ddeItem>
      <ddeItem name="@CTA[8-2-3-2-1-2131,F,5,#6]" advise="1">
        <values>
          <value t="nil">
            <val>1</val>
          </value>
        </values>
      </ddeItem>
      <ddeItem name="@CTA[8-2-3-2-1-2131,F,6,#6]" advise="1">
        <values>
          <value t="nil">
            <val>1</val>
          </value>
        </values>
      </ddeItem>
      <ddeItem name="@CTA[8-2-3-2-1-2131,F,7,#6]" advise="1">
        <values>
          <value t="nil">
            <val>1</val>
          </value>
        </values>
      </ddeItem>
      <ddeItem name="@CTA[8-2-3-2-1-2131,F,8,#6]" advise="1">
        <values>
          <value t="nil">
            <val>1</val>
          </value>
        </values>
      </ddeItem>
      <ddeItem name="@CTA[8-2-3-2-1-2131,F,9,#6]" advise="1">
        <values>
          <value t="nil">
            <val>1</val>
          </value>
        </values>
      </ddeItem>
      <ddeItem name="@CTA[8-2-3-2-1-2141,F,1,#6]" advise="1">
        <values>
          <value>
            <val>0</val>
          </value>
        </values>
      </ddeItem>
      <ddeItem name="@CTA[8-2-3-2-1-2141,F,2,#6]" advise="1">
        <values>
          <value>
            <val>2.2737367544323206E-13</val>
          </value>
        </values>
      </ddeItem>
      <ddeItem name="@CTA[8-2-3-2-1-2141,F,3,#6]" advise="1">
        <values>
          <value>
            <val>0</val>
          </value>
        </values>
      </ddeItem>
      <ddeItem name="@CTA[8-2-3-2-1-2141,F,4,#6]" advise="1">
        <values>
          <value>
            <val>0</val>
          </value>
        </values>
      </ddeItem>
      <ddeItem name="@CTA[8-2-3-2-1-2141,F,5,#6]" advise="1">
        <values>
          <value>
            <val>0</val>
          </value>
        </values>
      </ddeItem>
      <ddeItem name="@CTA[8-2-3-2-1-2141,F,6,#6]" advise="1">
        <values>
          <value>
            <val>7.2759576141834259E-12</val>
          </value>
        </values>
      </ddeItem>
      <ddeItem name="@CTA[8-2-3-2-1-2141,F,7,#6]" advise="1">
        <values>
          <value>
            <val>0</val>
          </value>
        </values>
      </ddeItem>
      <ddeItem name="@CTA[8-2-3-2-1-2141,F,8,#6]" advise="1">
        <values>
          <value>
            <val>0</val>
          </value>
        </values>
      </ddeItem>
      <ddeItem name="@CTA[8-2-3-2-1-2141,F,9,#6]" advise="1">
        <values>
          <value>
            <val>0</val>
          </value>
        </values>
      </ddeItem>
      <ddeItem name="@CTA[8-2-3-2-1-2151,F,1,#6]" advise="1">
        <values>
          <value>
            <val>0</val>
          </value>
        </values>
      </ddeItem>
      <ddeItem name="@CTA[8-2-3-2-1-2151,F,2,#6]" advise="1">
        <values>
          <value>
            <val>0</val>
          </value>
        </values>
      </ddeItem>
      <ddeItem name="@CTA[8-2-3-2-1-2151,F,3,#6]" advise="1">
        <values>
          <value>
            <val>0</val>
          </value>
        </values>
      </ddeItem>
      <ddeItem name="@CTA[8-2-3-2-1-2151,F,4,#6]" advise="1">
        <values>
          <value t="nil">
            <val>1</val>
          </value>
        </values>
      </ddeItem>
      <ddeItem name="@CTA[8-2-3-2-1-2151,F,5,#6]" advise="1">
        <values>
          <value>
            <val>0</val>
          </value>
        </values>
      </ddeItem>
      <ddeItem name="@CTA[8-2-3-2-1-2151,F,6,#6]" advise="1">
        <values>
          <value t="nil">
            <val>1</val>
          </value>
        </values>
      </ddeItem>
      <ddeItem name="@CTA[8-2-3-2-1-2151,F,7,#6]" advise="1">
        <values>
          <value t="nil">
            <val>1</val>
          </value>
        </values>
      </ddeItem>
      <ddeItem name="@CTA[8-2-3-2-1-2151,F,8,#6]" advise="1">
        <values>
          <value>
            <val>0</val>
          </value>
        </values>
      </ddeItem>
      <ddeItem name="@CTA[8-2-3-2-1-2151,F,9,#6]" advise="1">
        <values>
          <value t="nil">
            <val>1</val>
          </value>
        </values>
      </ddeItem>
      <ddeItem name="@CTA[8-2-3-2-1-2161,F,1,#6]" advise="1">
        <values>
          <value>
            <val>0</val>
          </value>
        </values>
      </ddeItem>
      <ddeItem name="@CTA[8-2-3-2-1-2161,F,2,#6]" advise="1">
        <values>
          <value>
            <val>0</val>
          </value>
        </values>
      </ddeItem>
      <ddeItem name="@CTA[8-2-3-2-1-2161,F,3,#6]" advise="1">
        <values>
          <value>
            <val>0</val>
          </value>
        </values>
      </ddeItem>
      <ddeItem name="@CTA[8-2-3-2-1-2161,F,4,#6]" advise="1">
        <values>
          <value>
            <val>0</val>
          </value>
        </values>
      </ddeItem>
      <ddeItem name="@CTA[8-2-3-2-1-2161,F,5,#6]" advise="1">
        <values>
          <value>
            <val>0</val>
          </value>
        </values>
      </ddeItem>
      <ddeItem name="@CTA[8-2-3-2-1-2161,F,6,#6]" advise="1">
        <values>
          <value>
            <val>0</val>
          </value>
        </values>
      </ddeItem>
      <ddeItem name="@CTA[8-2-3-2-1-2161,F,7,#6]" advise="1">
        <values>
          <value>
            <val>0</val>
          </value>
        </values>
      </ddeItem>
      <ddeItem name="@CTA[8-2-3-2-1-2161,F,8,#6]" advise="1">
        <values>
          <value>
            <val>0</val>
          </value>
        </values>
      </ddeItem>
      <ddeItem name="@CTA[8-2-3-2-1-2161,F,9,#6]" advise="1">
        <values>
          <value t="nil">
            <val>1</val>
          </value>
        </values>
      </ddeItem>
      <ddeItem name="@CTA[8-2-3-2-1-2171,F,1,#6]" advise="1">
        <values>
          <value>
            <val>0</val>
          </value>
        </values>
      </ddeItem>
      <ddeItem name="@CTA[8-2-3-2-1-2171,F,2,#6]" advise="1">
        <values>
          <value>
            <val>0</val>
          </value>
        </values>
      </ddeItem>
      <ddeItem name="@CTA[8-2-3-2-1-2171,F,3,#6]" advise="1">
        <values>
          <value>
            <val>0</val>
          </value>
        </values>
      </ddeItem>
      <ddeItem name="@CTA[8-2-3-2-1-2171,F,4,#6]" advise="1">
        <values>
          <value>
            <val>0</val>
          </value>
        </values>
      </ddeItem>
      <ddeItem name="@CTA[8-2-3-2-1-2171,F,5,#6]" advise="1">
        <values>
          <value>
            <val>0</val>
          </value>
        </values>
      </ddeItem>
      <ddeItem name="@CTA[8-2-3-2-1-2171,F,6,#6]" advise="1">
        <values>
          <value t="nil">
            <val>1</val>
          </value>
        </values>
      </ddeItem>
      <ddeItem name="@CTA[8-2-3-2-1-2171,F,7,#6]" advise="1">
        <values>
          <value>
            <val>0</val>
          </value>
        </values>
      </ddeItem>
      <ddeItem name="@CTA[8-2-3-2-1-2171,F,8,#6]" advise="1">
        <values>
          <value>
            <val>-1.4551915228366852E-11</val>
          </value>
        </values>
      </ddeItem>
      <ddeItem name="@CTA[8-2-3-2-1-2171,F,9,#6]" advise="1">
        <values>
          <value t="nil">
            <val>1</val>
          </value>
        </values>
      </ddeItem>
      <ddeItem name="@CTA[8-2-3-2-2,F,#5]" advise="1">
        <values>
          <value>
            <val>4.0000000007275958E-2</val>
          </value>
        </values>
      </ddeItem>
      <ddeItem name="@CTA[8-2-3-2-2-2211,F,1,#6]" advise="1">
        <values>
          <value>
            <val>0</val>
          </value>
        </values>
      </ddeItem>
      <ddeItem name="@CTA[8-2-3-2-2-2211,F,2,#6]" advise="1">
        <values>
          <value>
            <val>0</val>
          </value>
        </values>
      </ddeItem>
      <ddeItem name="@CTA[8-2-3-2-2-2211,F,3,#6]" advise="1">
        <values>
          <value>
            <val>-1.1368683772161603E-13</val>
          </value>
        </values>
      </ddeItem>
      <ddeItem name="@CTA[8-2-3-2-2-2211,F,4,#6]" advise="1">
        <values>
          <value>
            <val>0</val>
          </value>
        </values>
      </ddeItem>
      <ddeItem name="@CTA[8-2-3-2-2-2211,F,5,#6]" advise="1">
        <values>
          <value>
            <val>0</val>
          </value>
        </values>
      </ddeItem>
      <ddeItem name="@CTA[8-2-3-2-2-2211,F,6,#6]" advise="1">
        <values>
          <value>
            <val>0</val>
          </value>
        </values>
      </ddeItem>
      <ddeItem name="@CTA[8-2-3-2-2-2211,F,7,#6]" advise="1">
        <values>
          <value>
            <val>0</val>
          </value>
        </values>
      </ddeItem>
      <ddeItem name="@CTA[8-2-3-2-2-2211,F,8,#6]" advise="1">
        <values>
          <value>
            <val>2.8421709430404007E-14</val>
          </value>
        </values>
      </ddeItem>
      <ddeItem name="@CTA[8-2-3-2-2-2211,F,9,#6]" advise="1">
        <values>
          <value>
            <val>0</val>
          </value>
        </values>
      </ddeItem>
      <ddeItem name="@CTA[8-2-3-2-2-2221,F,3,#6]" advise="1">
        <values>
          <value>
            <val>0</val>
          </value>
        </values>
      </ddeItem>
      <ddeItem name="@CTA[8-2-3-2-2-2221,F,7,#6]" advise="1">
        <values>
          <value>
            <val>0</val>
          </value>
        </values>
      </ddeItem>
      <ddeItem name="@CTA[8-2-3-2-2-2231,F,1,#6]" advise="1">
        <values>
          <value>
            <val>-1.1368683772161603E-13</val>
          </value>
        </values>
      </ddeItem>
      <ddeItem name="@CTA[8-2-3-2-2-2231,F,2,#6]" advise="1">
        <values>
          <value>
            <val>0</val>
          </value>
        </values>
      </ddeItem>
      <ddeItem name="@CTA[8-2-3-2-2-2231,F,3,#6]" advise="1">
        <values>
          <value>
            <val>0</val>
          </value>
        </values>
      </ddeItem>
      <ddeItem name="@CTA[8-2-3-2-2-2231,F,4,#6]" advise="1">
        <values>
          <value>
            <val>0</val>
          </value>
        </values>
      </ddeItem>
      <ddeItem name="@CTA[8-2-3-2-2-2231,F,5,#6]" advise="1">
        <values>
          <value>
            <val>0</val>
          </value>
        </values>
      </ddeItem>
      <ddeItem name="@CTA[8-2-3-2-2-2231,F,6,#6]" advise="1">
        <values>
          <value>
            <val>0</val>
          </value>
        </values>
      </ddeItem>
      <ddeItem name="@CTA[8-2-3-2-2-2231,F,7,#6]" advise="1">
        <values>
          <value>
            <val>0</val>
          </value>
        </values>
      </ddeItem>
      <ddeItem name="@CTA[8-2-3-2-2-2231,F,8,#6]" advise="1">
        <values>
          <value>
            <val>0.03</val>
          </value>
        </values>
      </ddeItem>
      <ddeItem name="@CTA[8-2-3-2-2-2231,F,9,#6]" advise="1">
        <values>
          <value>
            <val>0.01</val>
          </value>
        </values>
      </ddeItem>
      <ddeItem name="@CTA[8-2-3-2-3,F,#5]" advise="1">
        <values>
          <value t="nil">
            <val>1</val>
          </value>
        </values>
      </ddeItem>
      <ddeItem name="@CTA[8-2-3-2-4,F,#5]" advise="1">
        <values>
          <value>
            <val>-3800</val>
          </value>
        </values>
      </ddeItem>
      <ddeItem name="@CTA[8-2-3-2-4-2411,F,1,#6]" advise="1">
        <values>
          <value>
            <val>0</val>
          </value>
        </values>
      </ddeItem>
      <ddeItem name="@CTA[8-2-3-2-4-2411,F,2,#6]" advise="1">
        <values>
          <value>
            <val>0</val>
          </value>
        </values>
      </ddeItem>
      <ddeItem name="@CTA[8-2-3-2-4-2411,F,3,#6]" advise="1">
        <values>
          <value>
            <val>0</val>
          </value>
        </values>
      </ddeItem>
      <ddeItem name="@CTA[8-2-3-2-4-2411,F,4,#6]" advise="1">
        <values>
          <value>
            <val>0</val>
          </value>
        </values>
      </ddeItem>
      <ddeItem name="@CTA[8-2-3-2-4-2411,F,5,#6]" advise="1">
        <values>
          <value>
            <val>0</val>
          </value>
        </values>
      </ddeItem>
      <ddeItem name="@CTA[8-2-3-2-4-2411,F,6,#6]" advise="1">
        <values>
          <value>
            <val>0</val>
          </value>
        </values>
      </ddeItem>
      <ddeItem name="@CTA[8-2-3-2-4-2411,F,7,#6]" advise="1">
        <values>
          <value>
            <val>0</val>
          </value>
        </values>
      </ddeItem>
      <ddeItem name="@CTA[8-2-3-2-4-2411,F,8,#6]" advise="1">
        <values>
          <value>
            <val>0</val>
          </value>
        </values>
      </ddeItem>
      <ddeItem name="@CTA[8-2-3-2-4-2411,F,9,#6]" advise="1">
        <values>
          <value>
            <val>0</val>
          </value>
        </values>
      </ddeItem>
      <ddeItem name="@CTA[8-2-3-2-4-2461,F,1,#6]" advise="1">
        <values>
          <value>
            <val>0</val>
          </value>
        </values>
      </ddeItem>
      <ddeItem name="@CTA[8-2-3-2-4-2461,F,2,#6]" advise="1">
        <values>
          <value>
            <val>0</val>
          </value>
        </values>
      </ddeItem>
      <ddeItem name="@CTA[8-2-3-2-4-2461,F,3,#6]" advise="1">
        <values>
          <value>
            <val>0</val>
          </value>
        </values>
      </ddeItem>
      <ddeItem name="@CTA[8-2-3-2-4-2461,F,4,#6]" advise="1">
        <values>
          <value>
            <val>0</val>
          </value>
        </values>
      </ddeItem>
      <ddeItem name="@CTA[8-2-3-2-4-2461,F,5,#6]" advise="1">
        <values>
          <value>
            <val>0</val>
          </value>
        </values>
      </ddeItem>
      <ddeItem name="@CTA[8-2-3-2-4-2461,F,6,#6]" advise="1">
        <values>
          <value>
            <val>1.4779288903810084E-12</val>
          </value>
        </values>
      </ddeItem>
      <ddeItem name="@CTA[8-2-3-2-4-2461,F,7,#6]" advise="1">
        <values>
          <value>
            <val>0</val>
          </value>
        </values>
      </ddeItem>
      <ddeItem name="@CTA[8-2-3-2-4-2461,F,8,#6]" advise="1">
        <values>
          <value>
            <val>0</val>
          </value>
        </values>
      </ddeItem>
      <ddeItem name="@CTA[8-2-3-2-4-2461,F,9,#6]" advise="1">
        <values>
          <value>
            <val>0</val>
          </value>
        </values>
      </ddeItem>
      <ddeItem name="@CTA[8-2-3-2-4-2471,F,1,#6]" advise="1">
        <values>
          <value>
            <val>-1.3642420526593924E-11</val>
          </value>
        </values>
      </ddeItem>
      <ddeItem name="@CTA[8-2-3-2-4-2471,F,2,#6]" advise="1">
        <values>
          <value>
            <val>0</val>
          </value>
        </values>
      </ddeItem>
      <ddeItem name="@CTA[8-2-3-2-4-2471,F,3,#6]" advise="1">
        <values>
          <value>
            <val>-3799.9999999999964</val>
          </value>
        </values>
      </ddeItem>
      <ddeItem name="@CTA[8-2-3-2-4-2471,F,4,#6]" advise="1">
        <values>
          <value>
            <val>9.0949470177292824E-13</val>
          </value>
        </values>
      </ddeItem>
      <ddeItem name="@CTA[8-2-3-2-4-2471,F,5,#6]" advise="1">
        <values>
          <value>
            <val>0</val>
          </value>
        </values>
      </ddeItem>
      <ddeItem name="@CTA[8-2-3-2-4-2471,F,6,#6]" advise="1">
        <values>
          <value>
            <val>0</val>
          </value>
        </values>
      </ddeItem>
      <ddeItem name="@CTA[8-2-3-2-4-2471,F,7,#6]" advise="1">
        <values>
          <value>
            <val>2.1827872842550278E-11</val>
          </value>
        </values>
      </ddeItem>
      <ddeItem name="@CTA[8-2-3-2-4-2471,F,8,#6]" advise="1">
        <values>
          <value>
            <val>0</val>
          </value>
        </values>
      </ddeItem>
      <ddeItem name="@CTA[8-2-3-2-4-2471,F,9,#6]" advise="1">
        <values>
          <value t="nil">
            <val>1</val>
          </value>
        </values>
      </ddeItem>
      <ddeItem name="@CTA[8-2-3-2-4-2481,F,1,#6]" advise="1">
        <values>
          <value t="nil">
            <val>1</val>
          </value>
        </values>
      </ddeItem>
      <ddeItem name="@CTA[8-2-3-2-4-2481,F,2,#6]" advise="1">
        <values>
          <value t="nil">
            <val>1</val>
          </value>
        </values>
      </ddeItem>
      <ddeItem name="@CTA[8-2-3-2-4-2481,F,3,#6]" advise="1">
        <values>
          <value t="nil">
            <val>1</val>
          </value>
        </values>
      </ddeItem>
      <ddeItem name="@CTA[8-2-3-2-4-2481,F,4,#6]" advise="1">
        <values>
          <value t="nil">
            <val>1</val>
          </value>
        </values>
      </ddeItem>
      <ddeItem name="@CTA[8-2-3-2-4-2481,F,5,#6]" advise="1">
        <values>
          <value t="nil">
            <val>1</val>
          </value>
        </values>
      </ddeItem>
      <ddeItem name="@CTA[8-2-3-2-4-2481,F,6,#6]" advise="1">
        <values>
          <value>
            <val>0</val>
          </value>
        </values>
      </ddeItem>
      <ddeItem name="@CTA[8-2-3-2-4-2481,F,7,#6]" advise="1">
        <values>
          <value t="nil">
            <val>1</val>
          </value>
        </values>
      </ddeItem>
      <ddeItem name="@CTA[8-2-3-2-4-2481,F,8,#6]" advise="1">
        <values>
          <value t="nil">
            <val>1</val>
          </value>
        </values>
      </ddeItem>
      <ddeItem name="@CTA[8-2-3-2-4-2481,F,9,#6]" advise="1">
        <values>
          <value t="nil">
            <val>1</val>
          </value>
        </values>
      </ddeItem>
      <ddeItem name="@CTA[8-2-3-2-4-2491,F,1,#6]" advise="1">
        <values>
          <value>
            <val>0</val>
          </value>
        </values>
      </ddeItem>
      <ddeItem name="@CTA[8-2-3-2-4-2491,F,2,#6]" advise="1">
        <values>
          <value>
            <val>0</val>
          </value>
        </values>
      </ddeItem>
      <ddeItem name="@CTA[8-2-3-2-4-2491,F,3,#6]" advise="1">
        <values>
          <value>
            <val>0</val>
          </value>
        </values>
      </ddeItem>
      <ddeItem name="@CTA[8-2-3-2-4-2491,F,4,#6]" advise="1">
        <values>
          <value>
            <val>0</val>
          </value>
        </values>
      </ddeItem>
      <ddeItem name="@CTA[8-2-3-2-4-2491,F,5,#6]" advise="1">
        <values>
          <value>
            <val>5.8207660913467407E-11</val>
          </value>
        </values>
      </ddeItem>
      <ddeItem name="@CTA[8-2-3-2-4-2491,F,6,#6]" advise="1">
        <values>
          <value>
            <val>0</val>
          </value>
        </values>
      </ddeItem>
      <ddeItem name="@CTA[8-2-3-2-4-2491,F,7,#6]" advise="1">
        <values>
          <value t="nil">
            <val>1</val>
          </value>
        </values>
      </ddeItem>
      <ddeItem name="@CTA[8-2-3-2-4-2491,F,8,#6]" advise="1">
        <values>
          <value t="nil">
            <val>1</val>
          </value>
        </values>
      </ddeItem>
      <ddeItem name="@CTA[8-2-3-2-4-2491,F,9,#6]" advise="1">
        <values>
          <value t="nil">
            <val>1</val>
          </value>
        </values>
      </ddeItem>
      <ddeItem name="@CTA[8-2-3-2-4-2492,F,1,#6]" advise="1">
        <values>
          <value>
            <val>0</val>
          </value>
        </values>
      </ddeItem>
      <ddeItem name="@CTA[8-2-3-2-4-2492,F,2,#6]" advise="1">
        <values>
          <value t="nil">
            <val>1</val>
          </value>
        </values>
      </ddeItem>
      <ddeItem name="@CTA[8-2-3-2-4-2492,F,3,#6]" advise="1">
        <values>
          <value>
            <val>0</val>
          </value>
        </values>
      </ddeItem>
      <ddeItem name="@CTA[8-2-3-2-4-2492,F,4,#6]" advise="1">
        <values>
          <value>
            <val>0</val>
          </value>
        </values>
      </ddeItem>
      <ddeItem name="@CTA[8-2-3-2-4-2492,F,5,#6]" advise="1">
        <values>
          <value>
            <val>0</val>
          </value>
        </values>
      </ddeItem>
      <ddeItem name="@CTA[8-2-3-2-4-2492,F,6,#6]" advise="1">
        <values>
          <value t="nil">
            <val>1</val>
          </value>
        </values>
      </ddeItem>
      <ddeItem name="@CTA[8-2-3-2-4-2492,F,7,#6]" advise="1">
        <values>
          <value>
            <val>0</val>
          </value>
        </values>
      </ddeItem>
      <ddeItem name="@CTA[8-2-3-2-4-2492,F,8,#6]" advise="1">
        <values>
          <value>
            <val>0</val>
          </value>
        </values>
      </ddeItem>
      <ddeItem name="@CTA[8-2-3-2-4-2492,F,9,#6]" advise="1">
        <values>
          <value t="nil">
            <val>1</val>
          </value>
        </values>
      </ddeItem>
      <ddeItem name="@CTA[8-2-3-2-5,F,#5]" advise="1">
        <values>
          <value>
            <val>-8.7311491370201111E-11</val>
          </value>
        </values>
      </ddeItem>
      <ddeItem name="@CTA[8-2-3-2-5-2531,F,1,#6]" advise="1">
        <values>
          <value t="nil">
            <val>1</val>
          </value>
        </values>
      </ddeItem>
      <ddeItem name="@CTA[8-2-3-2-5-2531,F,2,#6]" advise="1">
        <values>
          <value t="nil">
            <val>1</val>
          </value>
        </values>
      </ddeItem>
      <ddeItem name="@CTA[8-2-3-2-5-2531,F,3,#6]" advise="1">
        <values>
          <value>
            <val>0</val>
          </value>
        </values>
      </ddeItem>
      <ddeItem name="@CTA[8-2-3-2-5-2531,F,4,#6]" advise="1">
        <values>
          <value t="nil">
            <val>1</val>
          </value>
        </values>
      </ddeItem>
      <ddeItem name="@CTA[8-2-3-2-5-2531,F,5,#6]" advise="1">
        <values>
          <value t="nil">
            <val>1</val>
          </value>
        </values>
      </ddeItem>
      <ddeItem name="@CTA[8-2-3-2-5-2531,F,6,#6]" advise="1">
        <values>
          <value t="nil">
            <val>1</val>
          </value>
        </values>
      </ddeItem>
      <ddeItem name="@CTA[8-2-3-2-5-2531,F,7,#6]" advise="1">
        <values>
          <value>
            <val>0</val>
          </value>
        </values>
      </ddeItem>
      <ddeItem name="@CTA[8-2-3-2-5-2531,F,8,#6]" advise="1">
        <values>
          <value t="nil">
            <val>1</val>
          </value>
        </values>
      </ddeItem>
      <ddeItem name="@CTA[8-2-3-2-5-2531,F,9,#6]" advise="1">
        <values>
          <value t="nil">
            <val>1</val>
          </value>
        </values>
      </ddeItem>
      <ddeItem name="@CTA[8-2-3-2-5-2551,F,1,#6]" advise="1">
        <values>
          <value t="nil">
            <val>1</val>
          </value>
        </values>
      </ddeItem>
      <ddeItem name="@CTA[8-2-3-2-5-2551,F,2,#6]" advise="1">
        <values>
          <value t="nil">
            <val>1</val>
          </value>
        </values>
      </ddeItem>
      <ddeItem name="@CTA[8-2-3-2-5-2551,F,3,#6]" advise="1">
        <values>
          <value t="nil">
            <val>1</val>
          </value>
        </values>
      </ddeItem>
      <ddeItem name="@CTA[8-2-3-2-5-2551,F,4,#6]" advise="1">
        <values>
          <value t="nil">
            <val>1</val>
          </value>
        </values>
      </ddeItem>
      <ddeItem name="@CTA[8-2-3-2-5-2551,F,5,#6]" advise="1">
        <values>
          <value t="nil">
            <val>1</val>
          </value>
        </values>
      </ddeItem>
      <ddeItem name="@CTA[8-2-3-2-5-2551,F,6,#6]" advise="1">
        <values>
          <value t="nil">
            <val>1</val>
          </value>
        </values>
      </ddeItem>
      <ddeItem name="@CTA[8-2-3-2-5-2551,F,7,#6]" advise="1">
        <values>
          <value>
            <val>0</val>
          </value>
        </values>
      </ddeItem>
      <ddeItem name="@CTA[8-2-3-2-5-2551,F,8,#6]" advise="1">
        <values>
          <value t="nil">
            <val>1</val>
          </value>
        </values>
      </ddeItem>
      <ddeItem name="@CTA[8-2-3-2-5-2551,F,9,#6]" advise="1">
        <values>
          <value t="nil">
            <val>1</val>
          </value>
        </values>
      </ddeItem>
      <ddeItem name="@CTA[8-2-3-2-5-2591,F,1,#6]" advise="1">
        <values>
          <value>
            <val>0</val>
          </value>
        </values>
      </ddeItem>
      <ddeItem name="@CTA[8-2-3-2-5-2591,F,2,#6]" advise="1">
        <values>
          <value>
            <val>0</val>
          </value>
        </values>
      </ddeItem>
      <ddeItem name="@CTA[8-2-3-2-5-2591,F,3,#6]" advise="1">
        <values>
          <value>
            <val>0</val>
          </value>
        </values>
      </ddeItem>
      <ddeItem name="@CTA[8-2-3-2-5-2591,F,4,#6]" advise="1">
        <values>
          <value>
            <val>0</val>
          </value>
        </values>
      </ddeItem>
      <ddeItem name="@CTA[8-2-3-2-5-2591,F,5,#6]" advise="1">
        <values>
          <value>
            <val>0</val>
          </value>
        </values>
      </ddeItem>
      <ddeItem name="@CTA[8-2-3-2-5-2591,F,6,#6]" advise="1">
        <values>
          <value>
            <val>0</val>
          </value>
        </values>
      </ddeItem>
      <ddeItem name="@CTA[8-2-3-2-5-2591,F,7,#6]" advise="1">
        <values>
          <value>
            <val>-7.2759576141834259E-12</val>
          </value>
        </values>
      </ddeItem>
      <ddeItem name="@CTA[8-2-3-2-5-2591,F,8,#6]" advise="1">
        <values>
          <value>
            <val>0</val>
          </value>
        </values>
      </ddeItem>
      <ddeItem name="@CTA[8-2-3-2-5-2591,F,9,#6]" advise="1">
        <values>
          <value>
            <val>0</val>
          </value>
        </values>
      </ddeItem>
      <ddeItem name="@CTA[8-2-3-2-6,F,#5]" advise="1">
        <values>
          <value>
            <val>0</val>
          </value>
        </values>
      </ddeItem>
      <ddeItem name="@CTA[8-2-3-2-6-2611,F,1,#6]" advise="1">
        <values>
          <value>
            <val>0</val>
          </value>
        </values>
      </ddeItem>
      <ddeItem name="@CTA[8-2-3-2-6-2611,F,2,#6]" advise="1">
        <values>
          <value>
            <val>0</val>
          </value>
        </values>
      </ddeItem>
      <ddeItem name="@CTA[8-2-3-2-6-2611,F,3,#6]" advise="1">
        <values>
          <value t="nil">
            <val>1</val>
          </value>
        </values>
      </ddeItem>
      <ddeItem name="@CTA[8-2-3-2-6-2611,F,4,#6]" advise="1">
        <values>
          <value>
            <val>0</val>
          </value>
        </values>
      </ddeItem>
      <ddeItem name="@CTA[8-2-3-2-6-2611,F,5,#6]" advise="1">
        <values>
          <value>
            <val>0</val>
          </value>
        </values>
      </ddeItem>
      <ddeItem name="@CTA[8-2-3-2-6-2611,F,6,#6]" advise="1">
        <values>
          <value>
            <val>0</val>
          </value>
        </values>
      </ddeItem>
      <ddeItem name="@CTA[8-2-3-2-6-2611,F,7,#6]" advise="1">
        <values>
          <value>
            <val>0</val>
          </value>
        </values>
      </ddeItem>
      <ddeItem name="@CTA[8-2-3-2-6-2611,F,8,#6]" advise="1">
        <values>
          <value>
            <val>0</val>
          </value>
        </values>
      </ddeItem>
      <ddeItem name="@CTA[8-2-3-2-6-2611,F,9,#6]" advise="1">
        <values>
          <value>
            <val>0</val>
          </value>
        </values>
      </ddeItem>
      <ddeItem name="@CTA[8-2-3-2-6-2612,F,1,#6]" advise="1">
        <values>
          <value>
            <val>0</val>
          </value>
        </values>
      </ddeItem>
      <ddeItem name="@CTA[8-2-3-2-6-2612,F,2,#6]" advise="1">
        <values>
          <value t="nil">
            <val>1</val>
          </value>
        </values>
      </ddeItem>
      <ddeItem name="@CTA[8-2-3-2-6-2612,F,3,#6]" advise="1">
        <values>
          <value t="nil">
            <val>1</val>
          </value>
        </values>
      </ddeItem>
      <ddeItem name="@CTA[8-2-3-2-6-2612,F,4,#6]" advise="1">
        <values>
          <value>
            <val>0</val>
          </value>
        </values>
      </ddeItem>
      <ddeItem name="@CTA[8-2-3-2-6-2612,F,5,#6]" advise="1">
        <values>
          <value t="nil">
            <val>1</val>
          </value>
        </values>
      </ddeItem>
      <ddeItem name="@CTA[8-2-3-2-6-2612,F,6,#6]" advise="1">
        <values>
          <value t="nil">
            <val>1</val>
          </value>
        </values>
      </ddeItem>
      <ddeItem name="@CTA[8-2-3-2-6-2612,F,7,#6]" advise="1">
        <values>
          <value>
            <val>0</val>
          </value>
        </values>
      </ddeItem>
      <ddeItem name="@CTA[8-2-3-2-6-2612,F,8,#6]" advise="1">
        <values>
          <value t="nil">
            <val>1</val>
          </value>
        </values>
      </ddeItem>
      <ddeItem name="@CTA[8-2-3-2-6-2612,F,9,#6]" advise="1">
        <values>
          <value t="nil">
            <val>1</val>
          </value>
        </values>
      </ddeItem>
      <ddeItem name="@CTA[8-2-3-2-7,F,#5]" advise="1">
        <values>
          <value>
            <val>-2.9103830456733704E-11</val>
          </value>
        </values>
      </ddeItem>
      <ddeItem name="@CTA[8-2-3-2-7-2711,F,1,#6]" advise="1">
        <values>
          <value>
            <val>0</val>
          </value>
        </values>
      </ddeItem>
      <ddeItem name="@CTA[8-2-3-2-7-2711,F,2,#6]" advise="1">
        <values>
          <value>
            <val>0</val>
          </value>
        </values>
      </ddeItem>
      <ddeItem name="@CTA[8-2-3-2-7-2711,F,3,#6]" advise="1">
        <values>
          <value>
            <val>0</val>
          </value>
        </values>
      </ddeItem>
      <ddeItem name="@CTA[8-2-3-2-7-2711,F,4,#6]" advise="1">
        <values>
          <value>
            <val>0</val>
          </value>
        </values>
      </ddeItem>
      <ddeItem name="@CTA[8-2-3-2-7-2711,F,5,#6]" advise="1">
        <values>
          <value>
            <val>0</val>
          </value>
        </values>
      </ddeItem>
      <ddeItem name="@CTA[8-2-3-2-7-2711,F,6,#6]" advise="1">
        <values>
          <value>
            <val>0</val>
          </value>
        </values>
      </ddeItem>
      <ddeItem name="@CTA[8-2-3-2-7-2711,F,7,#6]" advise="1">
        <values>
          <value>
            <val>0</val>
          </value>
        </values>
      </ddeItem>
      <ddeItem name="@CTA[8-2-3-2-7-2711,F,8,#6]" advise="1">
        <values>
          <value>
            <val>0</val>
          </value>
        </values>
      </ddeItem>
      <ddeItem name="@CTA[8-2-3-2-7-2711,F,9,#6]" advise="1">
        <values>
          <value>
            <val>0</val>
          </value>
        </values>
      </ddeItem>
      <ddeItem name="@CTA[8-2-3-2-7-2712,F,1,#6]" advise="1">
        <values>
          <value>
            <val>0</val>
          </value>
        </values>
      </ddeItem>
      <ddeItem name="@CTA[8-2-3-2-7-2712,F,2,#6]" advise="1">
        <values>
          <value>
            <val>0</val>
          </value>
        </values>
      </ddeItem>
      <ddeItem name="@CTA[8-2-3-2-7-2712,F,3,#6]" advise="1">
        <values>
          <value>
            <val>0</val>
          </value>
        </values>
      </ddeItem>
      <ddeItem name="@CTA[8-2-3-2-7-2712,F,4,#6]" advise="1">
        <values>
          <value>
            <val>0</val>
          </value>
        </values>
      </ddeItem>
      <ddeItem name="@CTA[8-2-3-2-7-2712,F,5,#6]" advise="1">
        <values>
          <value>
            <val>0</val>
          </value>
        </values>
      </ddeItem>
      <ddeItem name="@CTA[8-2-3-2-7-2712,F,6,#6]" advise="1">
        <values>
          <value t="nil">
            <val>1</val>
          </value>
        </values>
      </ddeItem>
      <ddeItem name="@CTA[8-2-3-2-7-2712,F,7,#6]" advise="1">
        <values>
          <value>
            <val>0</val>
          </value>
        </values>
      </ddeItem>
      <ddeItem name="@CTA[8-2-3-2-7-2712,F,8,#6]" advise="1">
        <values>
          <value t="nil">
            <val>1</val>
          </value>
        </values>
      </ddeItem>
      <ddeItem name="@CTA[8-2-3-2-7-2712,F,9,#6]" advise="1">
        <values>
          <value t="nil">
            <val>1</val>
          </value>
        </values>
      </ddeItem>
      <ddeItem name="@CTA[8-2-3-2-7-2721,F,1,#6]" advise="1">
        <values>
          <value>
            <val>0</val>
          </value>
        </values>
      </ddeItem>
      <ddeItem name="@CTA[8-2-3-2-7-2721,F,2,#6]" advise="1">
        <values>
          <value>
            <val>0</val>
          </value>
        </values>
      </ddeItem>
      <ddeItem name="@CTA[8-2-3-2-7-2721,F,3,#6]" advise="1">
        <values>
          <value>
            <val>0</val>
          </value>
        </values>
      </ddeItem>
      <ddeItem name="@CTA[8-2-3-2-7-2721,F,4,#6]" advise="1">
        <values>
          <value>
            <val>0</val>
          </value>
        </values>
      </ddeItem>
      <ddeItem name="@CTA[8-2-3-2-7-2721,F,5,#6]" advise="1">
        <values>
          <value>
            <val>-5.6843418860808015E-14</val>
          </value>
        </values>
      </ddeItem>
      <ddeItem name="@CTA[8-2-3-2-7-2721,F,6,#6]" advise="1">
        <values>
          <value>
            <val>0</val>
          </value>
        </values>
      </ddeItem>
      <ddeItem name="@CTA[8-2-3-2-7-2721,F,7,#6]" advise="1">
        <values>
          <value>
            <val>0</val>
          </value>
        </values>
      </ddeItem>
      <ddeItem name="@CTA[8-2-3-2-7-2721,F,8,#6]" advise="1">
        <values>
          <value>
            <val>0</val>
          </value>
        </values>
      </ddeItem>
      <ddeItem name="@CTA[8-2-3-2-7-2721,F,9,#6]" advise="1">
        <values>
          <value>
            <val>0</val>
          </value>
        </values>
      </ddeItem>
      <ddeItem name="@CTA[8-2-3-2-7-2731,F,1,#6]" advise="1">
        <values>
          <value>
            <val>0</val>
          </value>
        </values>
      </ddeItem>
      <ddeItem name="@CTA[8-2-3-2-7-2731,F,2,#6]" advise="1">
        <values>
          <value t="nil">
            <val>1</val>
          </value>
        </values>
      </ddeItem>
      <ddeItem name="@CTA[8-2-3-2-7-2731,F,3,#6]" advise="1">
        <values>
          <value t="nil">
            <val>1</val>
          </value>
        </values>
      </ddeItem>
      <ddeItem name="@CTA[8-2-3-2-7-2731,F,4,#6]" advise="1">
        <values>
          <value t="nil">
            <val>1</val>
          </value>
        </values>
      </ddeItem>
      <ddeItem name="@CTA[8-2-3-2-7-2731,F,5,#6]" advise="1">
        <values>
          <value t="nil">
            <val>1</val>
          </value>
        </values>
      </ddeItem>
      <ddeItem name="@CTA[8-2-3-2-7-2731,F,6,#6]" advise="1">
        <values>
          <value t="nil">
            <val>1</val>
          </value>
        </values>
      </ddeItem>
      <ddeItem name="@CTA[8-2-3-2-7-2731,F,7,#6]" advise="1">
        <values>
          <value>
            <val>0</val>
          </value>
        </values>
      </ddeItem>
      <ddeItem name="@CTA[8-2-3-2-7-2731,F,8,#6]" advise="1">
        <values>
          <value t="nil">
            <val>1</val>
          </value>
        </values>
      </ddeItem>
      <ddeItem name="@CTA[8-2-3-2-7-2731,F,9,#6]" advise="1">
        <values>
          <value t="nil">
            <val>1</val>
          </value>
        </values>
      </ddeItem>
      <ddeItem name="@CTA[8-2-3-2-8,F,#5]" advise="1">
        <values>
          <value t="nil">
            <val>1</val>
          </value>
        </values>
      </ddeItem>
      <ddeItem name="@CTA[8-2-3-2-9,F,#5]" advise="1">
        <values>
          <value>
            <val>7.2759576141834259E-12</val>
          </value>
        </values>
      </ddeItem>
      <ddeItem name="@CTA[8-2-3-2-9-2911,F,1,#6]" advise="1">
        <values>
          <value>
            <val>0</val>
          </value>
        </values>
      </ddeItem>
      <ddeItem name="@CTA[8-2-3-2-9-2911,F,2,#6]" advise="1">
        <values>
          <value>
            <val>0</val>
          </value>
        </values>
      </ddeItem>
      <ddeItem name="@CTA[8-2-3-2-9-2911,F,3,#6]" advise="1">
        <values>
          <value>
            <val>1.1368683772161603E-13</val>
          </value>
        </values>
      </ddeItem>
      <ddeItem name="@CTA[8-2-3-2-9-2911,F,4,#6]" advise="1">
        <values>
          <value>
            <val>0</val>
          </value>
        </values>
      </ddeItem>
      <ddeItem name="@CTA[8-2-3-2-9-2911,F,5,#6]" advise="1">
        <values>
          <value>
            <val>0</val>
          </value>
        </values>
      </ddeItem>
      <ddeItem name="@CTA[8-2-3-2-9-2911,F,6,#6]" advise="1">
        <values>
          <value>
            <val>0</val>
          </value>
        </values>
      </ddeItem>
      <ddeItem name="@CTA[8-2-3-2-9-2911,F,7,#6]" advise="1">
        <values>
          <value>
            <val>9.0949470177292824E-13</val>
          </value>
        </values>
      </ddeItem>
      <ddeItem name="@CTA[8-2-3-2-9-2911,F,8,#6]" advise="1">
        <values>
          <value>
            <val>0</val>
          </value>
        </values>
      </ddeItem>
      <ddeItem name="@CTA[8-2-3-2-9-2911,F,9,#6]" advise="1">
        <values>
          <value>
            <val>0</val>
          </value>
        </values>
      </ddeItem>
      <ddeItem name="@CTA[8-2-3-3,F,#4]" advise="1">
        <values>
          <value>
            <val>-31046.559999998142</val>
          </value>
        </values>
      </ddeItem>
      <ddeItem name="@CTA[8-2-3-3-1,F,#5]" advise="1">
        <values>
          <value>
            <val>8508.4400000001751</val>
          </value>
        </values>
      </ddeItem>
      <ddeItem name="@CTA[8-2-3-3-1-3111,F,1,#6]" advise="1">
        <values>
          <value>
            <val>3864.5799999999854</val>
          </value>
        </values>
      </ddeItem>
      <ddeItem name="@CTA[8-2-3-3-1-3111,F,2,#6]" advise="1">
        <values>
          <value>
            <val>0</val>
          </value>
        </values>
      </ddeItem>
      <ddeItem name="@CTA[8-2-3-3-1-3111,F,3,#6]" advise="1">
        <values>
          <value>
            <val>0</val>
          </value>
        </values>
      </ddeItem>
      <ddeItem name="@CTA[8-2-3-3-1-3111,F,4,#6]" advise="1">
        <values>
          <value>
            <val>0</val>
          </value>
        </values>
      </ddeItem>
      <ddeItem name="@CTA[8-2-3-3-1-3111,F,5,#6]" advise="1">
        <values>
          <value>
            <val>0</val>
          </value>
        </values>
      </ddeItem>
      <ddeItem name="@CTA[8-2-3-3-1-3111,F,6,#6]" advise="1">
        <values>
          <value>
            <val>0</val>
          </value>
        </values>
      </ddeItem>
      <ddeItem name="@CTA[8-2-3-3-1-3111,F,7,#6]" advise="1">
        <values>
          <value>
            <val>0</val>
          </value>
        </values>
      </ddeItem>
      <ddeItem name="@CTA[8-2-3-3-1-3111,F,8,#6]" advise="1">
        <values>
          <value>
            <val>0</val>
          </value>
        </values>
      </ddeItem>
      <ddeItem name="@CTA[8-2-3-3-1-3111,F,9,#6]" advise="1">
        <values>
          <value>
            <val>0</val>
          </value>
        </values>
      </ddeItem>
      <ddeItem name="@CTA[8-2-3-3-1-3131,F,1,#6]" advise="1">
        <values>
          <value>
            <val>0</val>
          </value>
        </values>
      </ddeItem>
      <ddeItem name="@CTA[8-2-3-3-1-3131,F,2,#6]" advise="1">
        <values>
          <value>
            <val>0</val>
          </value>
        </values>
      </ddeItem>
      <ddeItem name="@CTA[8-2-3-3-1-3131,F,3,#6]" advise="1">
        <values>
          <value>
            <val>0</val>
          </value>
        </values>
      </ddeItem>
      <ddeItem name="@CTA[8-2-3-3-1-3131,F,4,#6]" advise="1">
        <values>
          <value>
            <val>0</val>
          </value>
        </values>
      </ddeItem>
      <ddeItem name="@CTA[8-2-3-3-1-3131,F,5,#6]" advise="1">
        <values>
          <value>
            <val>0</val>
          </value>
        </values>
      </ddeItem>
      <ddeItem name="@CTA[8-2-3-3-1-3131,F,6,#6]" advise="1">
        <values>
          <value>
            <val>0</val>
          </value>
        </values>
      </ddeItem>
      <ddeItem name="@CTA[8-2-3-3-1-3131,F,7,#6]" advise="1">
        <values>
          <value>
            <val>0</val>
          </value>
        </values>
      </ddeItem>
      <ddeItem name="@CTA[8-2-3-3-1-3131,F,8,#6]" advise="1">
        <values>
          <value>
            <val>0</val>
          </value>
        </values>
      </ddeItem>
      <ddeItem name="@CTA[8-2-3-3-1-3131,F,9,#6]" advise="1">
        <values>
          <value>
            <val>0</val>
          </value>
        </values>
      </ddeItem>
      <ddeItem name="@CTA[8-2-3-3-1-3141,F,1,#6]" advise="1">
        <values>
          <value>
            <val>466.93</val>
          </value>
        </values>
      </ddeItem>
      <ddeItem name="@CTA[8-2-3-3-1-3141,F,2,#6]" advise="1">
        <values>
          <value>
            <val>466.93</val>
          </value>
        </values>
      </ddeItem>
      <ddeItem name="@CTA[8-2-3-3-1-3141,F,3,#6]" advise="1">
        <values>
          <value>
            <val>466.95</val>
          </value>
        </values>
      </ddeItem>
      <ddeItem name="@CTA[8-2-3-3-1-3141,F,4,#6]" advise="1">
        <values>
          <value>
            <val>466.95</val>
          </value>
        </values>
      </ddeItem>
      <ddeItem name="@CTA[8-2-3-3-1-3141,F,5,#6]" advise="1">
        <values>
          <value>
            <val>466.95</val>
          </value>
        </values>
      </ddeItem>
      <ddeItem name="@CTA[8-2-3-3-1-3141,F,6,#6]" advise="1">
        <values>
          <value>
            <val>466.96</val>
          </value>
        </values>
      </ddeItem>
      <ddeItem name="@CTA[8-2-3-3-1-3141,F,7,#6]" advise="1">
        <values>
          <value>
            <val>466.96</val>
          </value>
        </values>
      </ddeItem>
      <ddeItem name="@CTA[8-2-3-3-1-3141,F,8,#6]" advise="1">
        <values>
          <value>
            <val>466.96</val>
          </value>
        </values>
      </ddeItem>
      <ddeItem name="@CTA[8-2-3-3-1-3141,F,9,#6]" advise="1">
        <values>
          <value>
            <val>466.96</val>
          </value>
        </values>
      </ddeItem>
      <ddeItem name="@CTA[8-2-3-3-1-3161,F,1,#6]" advise="1">
        <values>
          <value>
            <val>0</val>
          </value>
        </values>
      </ddeItem>
      <ddeItem name="@CTA[8-2-3-3-1-3161,F,2,#6]" advise="1">
        <values>
          <value>
            <val>441.31</val>
          </value>
        </values>
      </ddeItem>
      <ddeItem name="@CTA[8-2-3-3-1-3161,F,3,#6]" advise="1">
        <values>
          <value>
            <val>0</val>
          </value>
        </values>
      </ddeItem>
      <ddeItem name="@CTA[8-2-3-3-1-3161,F,4,#6]" advise="1">
        <values>
          <value>
            <val>0</val>
          </value>
        </values>
      </ddeItem>
      <ddeItem name="@CTA[8-2-3-3-1-3161,F,5,#6]" advise="1">
        <values>
          <value>
            <val>0</val>
          </value>
        </values>
      </ddeItem>
      <ddeItem name="@CTA[8-2-3-3-1-3161,F,6,#6]" advise="1">
        <values>
          <value>
            <val>0</val>
          </value>
        </values>
      </ddeItem>
      <ddeItem name="@CTA[8-2-3-3-1-3161,F,7,#6]" advise="1">
        <values>
          <value>
            <val>0</val>
          </value>
        </values>
      </ddeItem>
      <ddeItem name="@CTA[8-2-3-3-1-3161,F,8,#6]" advise="1">
        <values>
          <value>
            <val>0</val>
          </value>
        </values>
      </ddeItem>
      <ddeItem name="@CTA[8-2-3-3-1-3161,F,9,#6]" advise="1">
        <values>
          <value>
            <val>0</val>
          </value>
        </values>
      </ddeItem>
      <ddeItem name="@CTA[8-2-3-3-1-3171,F,1,#6]" advise="1">
        <values>
          <value>
            <val>0</val>
          </value>
        </values>
      </ddeItem>
      <ddeItem name="@CTA[8-2-3-3-1-3171,F,2,#6]" advise="1">
        <values>
          <value>
            <val>0</val>
          </value>
        </values>
      </ddeItem>
      <ddeItem name="@CTA[8-2-3-3-1-3171,F,3,#6]" advise="1">
        <values>
          <value>
            <val>0</val>
          </value>
        </values>
      </ddeItem>
      <ddeItem name="@CTA[8-2-3-3-1-3171,F,4,#6]" advise="1">
        <values>
          <value>
            <val>0</val>
          </value>
        </values>
      </ddeItem>
      <ddeItem name="@CTA[8-2-3-3-1-3171,F,5,#6]" advise="1">
        <values>
          <value>
            <val>0</val>
          </value>
        </values>
      </ddeItem>
      <ddeItem name="@CTA[8-2-3-3-1-3171,F,6,#6]" advise="1">
        <values>
          <value>
            <val>0</val>
          </value>
        </values>
      </ddeItem>
      <ddeItem name="@CTA[8-2-3-3-1-3171,F,7,#6]" advise="1">
        <values>
          <value>
            <val>0</val>
          </value>
        </values>
      </ddeItem>
      <ddeItem name="@CTA[8-2-3-3-1-3171,F,8,#6]" advise="1">
        <values>
          <value>
            <val>0</val>
          </value>
        </values>
      </ddeItem>
      <ddeItem name="@CTA[8-2-3-3-1-3171,F,9,#6]" advise="1">
        <values>
          <value>
            <val>0</val>
          </value>
        </values>
      </ddeItem>
      <ddeItem name="@CTA[8-2-3-3-1-3181,F,1,#6]" advise="1">
        <values>
          <value>
            <val>-2.2737367544323206E-13</val>
          </value>
        </values>
      </ddeItem>
      <ddeItem name="@CTA[8-2-3-3-1-3181,F,2,#6]" advise="1">
        <values>
          <value>
            <val>0</val>
          </value>
        </values>
      </ddeItem>
      <ddeItem name="@CTA[8-2-3-3-1-3181,F,3,#6]" advise="1">
        <values>
          <value t="nil">
            <val>1</val>
          </value>
        </values>
      </ddeItem>
      <ddeItem name="@CTA[8-2-3-3-1-3181,F,4,#6]" advise="1">
        <values>
          <value t="nil">
            <val>1</val>
          </value>
        </values>
      </ddeItem>
      <ddeItem name="@CTA[8-2-3-3-1-3181,F,5,#6]" advise="1">
        <values>
          <value t="nil">
            <val>1</val>
          </value>
        </values>
      </ddeItem>
      <ddeItem name="@CTA[8-2-3-3-1-3181,F,6,#6]" advise="1">
        <values>
          <value t="nil">
            <val>1</val>
          </value>
        </values>
      </ddeItem>
      <ddeItem name="@CTA[8-2-3-3-1-3181,F,7,#6]" advise="1">
        <values>
          <value t="nil">
            <val>1</val>
          </value>
        </values>
      </ddeItem>
      <ddeItem name="@CTA[8-2-3-3-1-3181,F,8,#6]" advise="1">
        <values>
          <value t="nil">
            <val>1</val>
          </value>
        </values>
      </ddeItem>
      <ddeItem name="@CTA[8-2-3-3-1-3181,F,9,#6]" advise="1">
        <values>
          <value t="nil">
            <val>1</val>
          </value>
        </values>
      </ddeItem>
      <ddeItem name="@CTA[8-2-3-3-1-3182,F,1,#6]" advise="1">
        <values>
          <value t="nil">
            <val>1</val>
          </value>
        </values>
      </ddeItem>
      <ddeItem name="@CTA[8-2-3-3-1-3182,F,2,#6]" advise="1">
        <values>
          <value>
            <val>0</val>
          </value>
        </values>
      </ddeItem>
      <ddeItem name="@CTA[8-2-3-3-1-3182,F,3,#6]" advise="1">
        <values>
          <value t="nil">
            <val>1</val>
          </value>
        </values>
      </ddeItem>
      <ddeItem name="@CTA[8-2-3-3-1-3182,F,4,#6]" advise="1">
        <values>
          <value t="nil">
            <val>1</val>
          </value>
        </values>
      </ddeItem>
      <ddeItem name="@CTA[8-2-3-3-1-3182,F,5,#6]" advise="1">
        <values>
          <value t="nil">
            <val>1</val>
          </value>
        </values>
      </ddeItem>
      <ddeItem name="@CTA[8-2-3-3-1-3182,F,6,#6]" advise="1">
        <values>
          <value t="nil">
            <val>1</val>
          </value>
        </values>
      </ddeItem>
      <ddeItem name="@CTA[8-2-3-3-1-3182,F,7,#6]" advise="1">
        <values>
          <value t="nil">
            <val>1</val>
          </value>
        </values>
      </ddeItem>
      <ddeItem name="@CTA[8-2-3-3-1-3182,F,8,#6]" advise="1">
        <values>
          <value t="nil">
            <val>1</val>
          </value>
        </values>
      </ddeItem>
      <ddeItem name="@CTA[8-2-3-3-1-3182,F,9,#6]" advise="1">
        <values>
          <value t="nil">
            <val>1</val>
          </value>
        </values>
      </ddeItem>
      <ddeItem name="@CTA[8-2-3-3-2,F,#5]" advise="1">
        <values>
          <value>
            <val>0</val>
          </value>
        </values>
      </ddeItem>
      <ddeItem name="@CTA[8-2-3-3-2-3211,F,1,#6]" advise="1">
        <values>
          <value>
            <val>0</val>
          </value>
        </values>
      </ddeItem>
      <ddeItem name="@CTA[8-2-3-3-2-3211,F,2,#6]" advise="1">
        <values>
          <value t="nil">
            <val>1</val>
          </value>
        </values>
      </ddeItem>
      <ddeItem name="@CTA[8-2-3-3-2-3211,F,3,#6]" advise="1">
        <values>
          <value t="nil">
            <val>1</val>
          </value>
        </values>
      </ddeItem>
      <ddeItem name="@CTA[8-2-3-3-2-3211,F,4,#6]" advise="1">
        <values>
          <value t="nil">
            <val>1</val>
          </value>
        </values>
      </ddeItem>
      <ddeItem name="@CTA[8-2-3-3-2-3211,F,5,#6]" advise="1">
        <values>
          <value t="nil">
            <val>1</val>
          </value>
        </values>
      </ddeItem>
      <ddeItem name="@CTA[8-2-3-3-2-3211,F,6,#6]" advise="1">
        <values>
          <value t="nil">
            <val>1</val>
          </value>
        </values>
      </ddeItem>
      <ddeItem name="@CTA[8-2-3-3-2-3211,F,7,#6]" advise="1">
        <values>
          <value t="nil">
            <val>1</val>
          </value>
        </values>
      </ddeItem>
      <ddeItem name="@CTA[8-2-3-3-2-3211,F,8,#6]" advise="1">
        <values>
          <value t="nil">
            <val>1</val>
          </value>
        </values>
      </ddeItem>
      <ddeItem name="@CTA[8-2-3-3-2-3211,F,9,#6]" advise="1">
        <values>
          <value t="nil">
            <val>1</val>
          </value>
        </values>
      </ddeItem>
      <ddeItem name="@CTA[8-2-3-3-2-3231,F,1,#6]" advise="1">
        <values>
          <value>
            <val>0</val>
          </value>
        </values>
      </ddeItem>
      <ddeItem name="@CTA[8-2-3-3-2-3231,F,2,#6]" advise="1">
        <values>
          <value>
            <val>0</val>
          </value>
        </values>
      </ddeItem>
      <ddeItem name="@CTA[8-2-3-3-2-3231,F,3,#6]" advise="1">
        <values>
          <value>
            <val>0</val>
          </value>
        </values>
      </ddeItem>
      <ddeItem name="@CTA[8-2-3-3-2-3231,F,4,#6]" advise="1">
        <values>
          <value>
            <val>0</val>
          </value>
        </values>
      </ddeItem>
      <ddeItem name="@CTA[8-2-3-3-2-3231,F,5,#6]" advise="1">
        <values>
          <value>
            <val>0</val>
          </value>
        </values>
      </ddeItem>
      <ddeItem name="@CTA[8-2-3-3-2-3231,F,6,#6]" advise="1">
        <values>
          <value>
            <val>0</val>
          </value>
        </values>
      </ddeItem>
      <ddeItem name="@CTA[8-2-3-3-2-3231,F,7,#6]" advise="1">
        <values>
          <value>
            <val>0</val>
          </value>
        </values>
      </ddeItem>
      <ddeItem name="@CTA[8-2-3-3-2-3231,F,8,#6]" advise="1">
        <values>
          <value>
            <val>0</val>
          </value>
        </values>
      </ddeItem>
      <ddeItem name="@CTA[8-2-3-3-2-3231,F,9,#6]" advise="1">
        <values>
          <value>
            <val>0</val>
          </value>
        </values>
      </ddeItem>
      <ddeItem name="@CTA[8-2-3-3-2-3261,F,1,#6]" advise="1">
        <values>
          <value t="nil">
            <val>1</val>
          </value>
        </values>
      </ddeItem>
      <ddeItem name="@CTA[8-2-3-3-2-3261,F,2,#6]" advise="1">
        <values>
          <value t="nil">
            <val>1</val>
          </value>
        </values>
      </ddeItem>
      <ddeItem name="@CTA[8-2-3-3-2-3261,F,3,#6]" advise="1">
        <values>
          <value t="nil">
            <val>1</val>
          </value>
        </values>
      </ddeItem>
      <ddeItem name="@CTA[8-2-3-3-2-3261,F,4,#6]" advise="1">
        <values>
          <value t="nil">
            <val>1</val>
          </value>
        </values>
      </ddeItem>
      <ddeItem name="@CTA[8-2-3-3-2-3261,F,5,#6]" advise="1">
        <values>
          <value t="nil">
            <val>1</val>
          </value>
        </values>
      </ddeItem>
      <ddeItem name="@CTA[8-2-3-3-2-3261,F,6,#6]" advise="1">
        <values>
          <value t="nil">
            <val>1</val>
          </value>
        </values>
      </ddeItem>
      <ddeItem name="@CTA[8-2-3-3-2-3261,F,7,#6]" advise="1">
        <values>
          <value t="nil">
            <val>1</val>
          </value>
        </values>
      </ddeItem>
      <ddeItem name="@CTA[8-2-3-3-2-3261,F,8,#6]" advise="1">
        <values>
          <value t="nil">
            <val>1</val>
          </value>
        </values>
      </ddeItem>
      <ddeItem name="@CTA[8-2-3-3-2-3261,F,9,#6]" advise="1">
        <values>
          <value t="nil">
            <val>1</val>
          </value>
        </values>
      </ddeItem>
      <ddeItem name="@CTA[8-2-3-3-2-3291,F,1,#6]" advise="1">
        <values>
          <value t="nil">
            <val>1</val>
          </value>
        </values>
      </ddeItem>
      <ddeItem name="@CTA[8-2-3-3-2-3291,F,2,#6]" advise="1">
        <values>
          <value t="nil">
            <val>1</val>
          </value>
        </values>
      </ddeItem>
      <ddeItem name="@CTA[8-2-3-3-2-3291,F,3,#6]" advise="1">
        <values>
          <value t="nil">
            <val>1</val>
          </value>
        </values>
      </ddeItem>
      <ddeItem name="@CTA[8-2-3-3-2-3291,F,4,#6]" advise="1">
        <values>
          <value t="nil">
            <val>1</val>
          </value>
        </values>
      </ddeItem>
      <ddeItem name="@CTA[8-2-3-3-2-3291,F,5,#6]" advise="1">
        <values>
          <value t="nil">
            <val>1</val>
          </value>
        </values>
      </ddeItem>
      <ddeItem name="@CTA[8-2-3-3-2-3291,F,6,#6]" advise="1">
        <values>
          <value t="nil">
            <val>1</val>
          </value>
        </values>
      </ddeItem>
      <ddeItem name="@CTA[8-2-3-3-2-3291,F,7,#6]" advise="1">
        <values>
          <value t="nil">
            <val>1</val>
          </value>
        </values>
      </ddeItem>
      <ddeItem name="@CTA[8-2-3-3-2-3291,F,8,#6]" advise="1">
        <values>
          <value>
            <val>0</val>
          </value>
        </values>
      </ddeItem>
      <ddeItem name="@CTA[8-2-3-3-2-3291,F,9,#6]" advise="1">
        <values>
          <value t="nil">
            <val>1</val>
          </value>
        </values>
      </ddeItem>
      <ddeItem name="@CTA[8-2-3-3-3,F,#5]" advise="1">
        <values>
          <value>
            <val>9.3132257461547852E-10</val>
          </value>
        </values>
      </ddeItem>
      <ddeItem name="@CTA[8-2-3-3-3-3311,F,1,#6]" advise="1">
        <values>
          <value>
            <val>0</val>
          </value>
        </values>
      </ddeItem>
      <ddeItem name="@CTA[8-2-3-3-3-3311,F,2,#6]" advise="1">
        <values>
          <value>
            <val>0</val>
          </value>
        </values>
      </ddeItem>
      <ddeItem name="@CTA[8-2-3-3-3-3311,F,3,#6]" advise="1">
        <values>
          <value>
            <val>0</val>
          </value>
        </values>
      </ddeItem>
      <ddeItem name="@CTA[8-2-3-3-3-3311,F,4,#6]" advise="1">
        <values>
          <value>
            <val>0</val>
          </value>
        </values>
      </ddeItem>
      <ddeItem name="@CTA[8-2-3-3-3-3311,F,5,#6]" advise="1">
        <values>
          <value t="nil">
            <val>1</val>
          </value>
        </values>
      </ddeItem>
      <ddeItem name="@CTA[8-2-3-3-3-3311,F,6,#6]" advise="1">
        <values>
          <value t="nil">
            <val>1</val>
          </value>
        </values>
      </ddeItem>
      <ddeItem name="@CTA[8-2-3-3-3-3311,F,7,#6]" advise="1">
        <values>
          <value t="nil">
            <val>1</val>
          </value>
        </values>
      </ddeItem>
      <ddeItem name="@CTA[8-2-3-3-3-3311,F,8,#6]" advise="1">
        <values>
          <value t="nil">
            <val>1</val>
          </value>
        </values>
      </ddeItem>
      <ddeItem name="@CTA[8-2-3-3-3-3311,F,9,#6]" advise="1">
        <values>
          <value>
            <val>0</val>
          </value>
        </values>
      </ddeItem>
      <ddeItem name="@CTA[8-2-3-3-3-3331,F,1,#6]" advise="1">
        <values>
          <value t="nil">
            <val>1</val>
          </value>
        </values>
      </ddeItem>
      <ddeItem name="@CTA[8-2-3-3-3-3331,F,2,#6]" advise="1">
        <values>
          <value t="nil">
            <val>1</val>
          </value>
        </values>
      </ddeItem>
      <ddeItem name="@CTA[8-2-3-3-3-3331,F,3,#6]" advise="1">
        <values>
          <value t="nil">
            <val>1</val>
          </value>
        </values>
      </ddeItem>
      <ddeItem name="@CTA[8-2-3-3-3-3331,F,4,#6]" advise="1">
        <values>
          <value t="nil">
            <val>1</val>
          </value>
        </values>
      </ddeItem>
      <ddeItem name="@CTA[8-2-3-3-3-3331,F,5,#6]" advise="1">
        <values>
          <value t="nil">
            <val>1</val>
          </value>
        </values>
      </ddeItem>
      <ddeItem name="@CTA[8-2-3-3-3-3331,F,6,#6]" advise="1">
        <values>
          <value t="nil">
            <val>1</val>
          </value>
        </values>
      </ddeItem>
      <ddeItem name="@CTA[8-2-3-3-3-3331,F,7,#6]" advise="1">
        <values>
          <value t="nil">
            <val>1</val>
          </value>
        </values>
      </ddeItem>
      <ddeItem name="@CTA[8-2-3-3-3-3331,F,8,#6]" advise="1">
        <values>
          <value t="nil">
            <val>1</val>
          </value>
        </values>
      </ddeItem>
      <ddeItem name="@CTA[8-2-3-3-3-3331,F,9,#6]" advise="1">
        <values>
          <value t="nil">
            <val>1</val>
          </value>
        </values>
      </ddeItem>
      <ddeItem name="@CTA[8-2-3-3-3-3332,F,1,#6]" advise="1">
        <values>
          <value>
            <val>0</val>
          </value>
        </values>
      </ddeItem>
      <ddeItem name="@CTA[8-2-3-3-3-3332,F,2,#6]" advise="1">
        <values>
          <value>
            <val>0</val>
          </value>
        </values>
      </ddeItem>
      <ddeItem name="@CTA[8-2-3-3-3-3332,F,3,#6]" advise="1">
        <values>
          <value t="nil">
            <val>1</val>
          </value>
        </values>
      </ddeItem>
      <ddeItem name="@CTA[8-2-3-3-3-3332,F,4,#6]" advise="1">
        <values>
          <value t="nil">
            <val>1</val>
          </value>
        </values>
      </ddeItem>
      <ddeItem name="@CTA[8-2-3-3-3-3332,F,5,#6]" advise="1">
        <values>
          <value>
            <val>0</val>
          </value>
        </values>
      </ddeItem>
      <ddeItem name="@CTA[8-2-3-3-3-3332,F,6,#6]" advise="1">
        <values>
          <value t="nil">
            <val>1</val>
          </value>
        </values>
      </ddeItem>
      <ddeItem name="@CTA[8-2-3-3-3-3332,F,7,#6]" advise="1">
        <values>
          <value>
            <val>0</val>
          </value>
        </values>
      </ddeItem>
      <ddeItem name="@CTA[8-2-3-3-3-3332,F,8,#6]" advise="1">
        <values>
          <value t="nil">
            <val>1</val>
          </value>
        </values>
      </ddeItem>
      <ddeItem name="@CTA[8-2-3-3-3-3332,F,9,#6]" advise="1">
        <values>
          <value>
            <val>0</val>
          </value>
        </values>
      </ddeItem>
      <ddeItem name="@CTA[8-2-3-3-3-3341,F,1,#6]" advise="1">
        <values>
          <value>
            <val>-1.8189894035458565E-12</val>
          </value>
        </values>
      </ddeItem>
      <ddeItem name="@CTA[8-2-3-3-3-3341,F,2,#6]" advise="1">
        <values>
          <value t="nil">
            <val>1</val>
          </value>
        </values>
      </ddeItem>
      <ddeItem name="@CTA[8-2-3-3-3-3341,F,3,#6]" advise="1">
        <values>
          <value>
            <val>0</val>
          </value>
        </values>
      </ddeItem>
      <ddeItem name="@CTA[8-2-3-3-3-3341,F,4,#6]" advise="1">
        <values>
          <value>
            <val>0</val>
          </value>
        </values>
      </ddeItem>
      <ddeItem name="@CTA[8-2-3-3-3-3341,F,5,#6]" advise="1">
        <values>
          <value>
            <val>0</val>
          </value>
        </values>
      </ddeItem>
      <ddeItem name="@CTA[8-2-3-3-3-3341,F,6,#6]" advise="1">
        <values>
          <value t="nil">
            <val>1</val>
          </value>
        </values>
      </ddeItem>
      <ddeItem name="@CTA[8-2-3-3-3-3341,F,7,#6]" advise="1">
        <values>
          <value t="nil">
            <val>1</val>
          </value>
        </values>
      </ddeItem>
      <ddeItem name="@CTA[8-2-3-3-3-3341,F,8,#6]" advise="1">
        <values>
          <value>
            <val>0</val>
          </value>
        </values>
      </ddeItem>
      <ddeItem name="@CTA[8-2-3-3-3-3341,F,9,#6]" advise="1">
        <values>
          <value t="nil">
            <val>1</val>
          </value>
        </values>
      </ddeItem>
      <ddeItem name="@CTA[8-2-3-3-3-3381,F,1,#6]" advise="1">
        <values>
          <value t="nil">
            <val>1</val>
          </value>
        </values>
      </ddeItem>
      <ddeItem name="@CTA[8-2-3-3-3-3381,F,2,#6]" advise="1">
        <values>
          <value t="nil">
            <val>1</val>
          </value>
        </values>
      </ddeItem>
      <ddeItem name="@CTA[8-2-3-3-3-3381,F,3,#6]" advise="1">
        <values>
          <value t="nil">
            <val>1</val>
          </value>
        </values>
      </ddeItem>
      <ddeItem name="@CTA[8-2-3-3-3-3381,F,4,#6]" advise="1">
        <values>
          <value t="nil">
            <val>1</val>
          </value>
        </values>
      </ddeItem>
      <ddeItem name="@CTA[8-2-3-3-3-3381,F,5,#6]" advise="1">
        <values>
          <value t="nil">
            <val>1</val>
          </value>
        </values>
      </ddeItem>
      <ddeItem name="@CTA[8-2-3-3-3-3381,F,6,#6]" advise="1">
        <values>
          <value t="nil">
            <val>1</val>
          </value>
        </values>
      </ddeItem>
      <ddeItem name="@CTA[8-2-3-3-3-3381,F,7,#6]" advise="1">
        <values>
          <value t="nil">
            <val>1</val>
          </value>
        </values>
      </ddeItem>
      <ddeItem name="@CTA[8-2-3-3-3-3381,F,8,#6]" advise="1">
        <values>
          <value t="nil">
            <val>1</val>
          </value>
        </values>
      </ddeItem>
      <ddeItem name="@CTA[8-2-3-3-3-3381,F,9,#6]" advise="1">
        <values>
          <value t="nil">
            <val>1</val>
          </value>
        </values>
      </ddeItem>
      <ddeItem name="@CTA[8-2-3-3-3-3391,F,1,#6]" advise="1">
        <values>
          <value>
            <val>0</val>
          </value>
        </values>
      </ddeItem>
      <ddeItem name="@CTA[8-2-3-3-3-3391,F,2,#6]" advise="1">
        <values>
          <value t="nil">
            <val>1</val>
          </value>
        </values>
      </ddeItem>
      <ddeItem name="@CTA[8-2-3-3-3-3391,F,3,#6]" advise="1">
        <values>
          <value t="nil">
            <val>1</val>
          </value>
        </values>
      </ddeItem>
      <ddeItem name="@CTA[8-2-3-3-3-3391,F,4,#6]" advise="1">
        <values>
          <value>
            <val>0</val>
          </value>
        </values>
      </ddeItem>
      <ddeItem name="@CTA[8-2-3-3-3-3391,F,5,#6]" advise="1">
        <values>
          <value t="nil">
            <val>1</val>
          </value>
        </values>
      </ddeItem>
      <ddeItem name="@CTA[8-2-3-3-3-3391,F,6,#6]" advise="1">
        <values>
          <value t="nil">
            <val>1</val>
          </value>
        </values>
      </ddeItem>
      <ddeItem name="@CTA[8-2-3-3-3-3391,F,7,#6]" advise="1">
        <values>
          <value>
            <val>0</val>
          </value>
        </values>
      </ddeItem>
      <ddeItem name="@CTA[8-2-3-3-3-3391,F,8,#6]" advise="1">
        <values>
          <value t="nil">
            <val>1</val>
          </value>
        </values>
      </ddeItem>
      <ddeItem name="@CTA[8-2-3-3-3-3391,F,9,#6]" advise="1">
        <values>
          <value t="nil">
            <val>1</val>
          </value>
        </values>
      </ddeItem>
      <ddeItem name="@CTA[8-2-3-3-4,F,#5]" advise="1">
        <values>
          <value>
            <val>-1.4551915228366852E-11</val>
          </value>
        </values>
      </ddeItem>
      <ddeItem name="@CTA[8-2-3-3-4-3411,F,1,#6]" advise="1">
        <values>
          <value>
            <val>0</val>
          </value>
        </values>
      </ddeItem>
      <ddeItem name="@CTA[8-2-3-3-4-3411,F,2,#6]" advise="1">
        <values>
          <value>
            <val>0</val>
          </value>
        </values>
      </ddeItem>
      <ddeItem name="@CTA[8-2-3-3-4-3411,F,3,#6]" advise="1">
        <values>
          <value>
            <val>0</val>
          </value>
        </values>
      </ddeItem>
      <ddeItem name="@CTA[8-2-3-3-4-3411,F,4,#6]" advise="1">
        <values>
          <value>
            <val>0</val>
          </value>
        </values>
      </ddeItem>
      <ddeItem name="@CTA[8-2-3-3-4-3411,F,5,#6]" advise="1">
        <values>
          <value>
            <val>0</val>
          </value>
        </values>
      </ddeItem>
      <ddeItem name="@CTA[8-2-3-3-4-3411,F,6,#6]" advise="1">
        <values>
          <value>
            <val>0</val>
          </value>
        </values>
      </ddeItem>
      <ddeItem name="@CTA[8-2-3-3-4-3411,F,7,#6]" advise="1">
        <values>
          <value>
            <val>0</val>
          </value>
        </values>
      </ddeItem>
      <ddeItem name="@CTA[8-2-3-3-4-3411,F,8,#6]" advise="1">
        <values>
          <value t="nil">
            <val>1</val>
          </value>
        </values>
      </ddeItem>
      <ddeItem name="@CTA[8-2-3-3-4-3411,F,9,#6]" advise="1">
        <values>
          <value t="nil">
            <val>1</val>
          </value>
        </values>
      </ddeItem>
      <ddeItem name="@CTA[8-2-3-3-4-3431,F,1,#6]" advise="1">
        <values>
          <value t="nil">
            <val>1</val>
          </value>
        </values>
      </ddeItem>
      <ddeItem name="@CTA[8-2-3-3-4-3431,F,2,#6]" advise="1">
        <values>
          <value t="nil">
            <val>1</val>
          </value>
        </values>
      </ddeItem>
      <ddeItem name="@CTA[8-2-3-3-4-3431,F,3,#6]" advise="1">
        <values>
          <value t="nil">
            <val>1</val>
          </value>
        </values>
      </ddeItem>
      <ddeItem name="@CTA[8-2-3-3-4-3431,F,4,#6]" advise="1">
        <values>
          <value>
            <val>0</val>
          </value>
        </values>
      </ddeItem>
      <ddeItem name="@CTA[8-2-3-3-4-3431,F,5,#6]" advise="1">
        <values>
          <value t="nil">
            <val>1</val>
          </value>
        </values>
      </ddeItem>
      <ddeItem name="@CTA[8-2-3-3-4-3431,F,6,#6]" advise="1">
        <values>
          <value t="nil">
            <val>1</val>
          </value>
        </values>
      </ddeItem>
      <ddeItem name="@CTA[8-2-3-3-4-3431,F,7,#6]" advise="1">
        <values>
          <value t="nil">
            <val>1</val>
          </value>
        </values>
      </ddeItem>
      <ddeItem name="@CTA[8-2-3-3-4-3431,F,8,#6]" advise="1">
        <values>
          <value t="nil">
            <val>1</val>
          </value>
        </values>
      </ddeItem>
      <ddeItem name="@CTA[8-2-3-3-4-3431,F,9,#6]" advise="1">
        <values>
          <value t="nil">
            <val>1</val>
          </value>
        </values>
      </ddeItem>
      <ddeItem name="@CTA[8-2-3-3-4-3451,F,1,#6]" advise="1">
        <values>
          <value>
            <val>0</val>
          </value>
        </values>
      </ddeItem>
      <ddeItem name="@CTA[8-2-3-3-4-3451,F,2,#6]" advise="1">
        <values>
          <value>
            <val>0</val>
          </value>
        </values>
      </ddeItem>
      <ddeItem name="@CTA[8-2-3-3-4-3451,F,3,#6]" advise="1">
        <values>
          <value>
            <val>0</val>
          </value>
        </values>
      </ddeItem>
      <ddeItem name="@CTA[8-2-3-3-4-3451,F,4,#6]" advise="1">
        <values>
          <value>
            <val>0</val>
          </value>
        </values>
      </ddeItem>
      <ddeItem name="@CTA[8-2-3-3-4-3451,F,5,#6]" advise="1">
        <values>
          <value>
            <val>0</val>
          </value>
        </values>
      </ddeItem>
      <ddeItem name="@CTA[8-2-3-3-4-3451,F,6,#6]" advise="1">
        <values>
          <value>
            <val>0</val>
          </value>
        </values>
      </ddeItem>
      <ddeItem name="@CTA[8-2-3-3-4-3451,F,7,#6]" advise="1">
        <values>
          <value>
            <val>0</val>
          </value>
        </values>
      </ddeItem>
      <ddeItem name="@CTA[8-2-3-3-4-3451,F,8,#6]" advise="1">
        <values>
          <value>
            <val>0</val>
          </value>
        </values>
      </ddeItem>
      <ddeItem name="@CTA[8-2-3-3-4-3451,F,9,#6]" advise="1">
        <values>
          <value>
            <val>0</val>
          </value>
        </values>
      </ddeItem>
      <ddeItem name="@CTA[8-2-3-3-4-3471,F,1,#6]" advise="1">
        <values>
          <value>
            <val>9.0949470177292824E-13</val>
          </value>
        </values>
      </ddeItem>
      <ddeItem name="@CTA[8-2-3-3-4-3471,F,2,#6]" advise="1">
        <values>
          <value>
            <val>0</val>
          </value>
        </values>
      </ddeItem>
      <ddeItem name="@CTA[8-2-3-3-4-3471,F,3,#6]" advise="1">
        <values>
          <value>
            <val>0</val>
          </value>
        </values>
      </ddeItem>
      <ddeItem name="@CTA[8-2-3-3-4-3471,F,4,#6]" advise="1">
        <values>
          <value>
            <val>0</val>
          </value>
        </values>
      </ddeItem>
      <ddeItem name="@CTA[8-2-3-3-4-3471,F,5,#6]" advise="1">
        <values>
          <value>
            <val>0</val>
          </value>
        </values>
      </ddeItem>
      <ddeItem name="@CTA[8-2-3-3-4-3471,F,6,#6]" advise="1">
        <values>
          <value>
            <val>0</val>
          </value>
        </values>
      </ddeItem>
      <ddeItem name="@CTA[8-2-3-3-4-3471,F,7,#6]" advise="1">
        <values>
          <value>
            <val>0</val>
          </value>
        </values>
      </ddeItem>
      <ddeItem name="@CTA[8-2-3-3-4-3471,F,8,#6]" advise="1">
        <values>
          <value t="nil">
            <val>1</val>
          </value>
        </values>
      </ddeItem>
      <ddeItem name="@CTA[8-2-3-3-4-3471,F,9,#6]" advise="1">
        <values>
          <value>
            <val>0</val>
          </value>
        </values>
      </ddeItem>
      <ddeItem name="@CTA[8-2-3-3-4-3491,F,1,#6]" advise="1">
        <values>
          <value>
            <val>0</val>
          </value>
        </values>
      </ddeItem>
      <ddeItem name="@CTA[8-2-3-3-4-3491,F,2,#6]" advise="1">
        <values>
          <value>
            <val>0</val>
          </value>
        </values>
      </ddeItem>
      <ddeItem name="@CTA[8-2-3-3-4-3491,F,3,#6]" advise="1">
        <values>
          <value>
            <val>0</val>
          </value>
        </values>
      </ddeItem>
      <ddeItem name="@CTA[8-2-3-3-4-3491,F,4,#6]" advise="1">
        <values>
          <value>
            <val>0</val>
          </value>
        </values>
      </ddeItem>
      <ddeItem name="@CTA[8-2-3-3-4-3491,F,5,#6]" advise="1">
        <values>
          <value>
            <val>0</val>
          </value>
        </values>
      </ddeItem>
      <ddeItem name="@CTA[8-2-3-3-4-3491,F,6,#6]" advise="1">
        <values>
          <value>
            <val>0</val>
          </value>
        </values>
      </ddeItem>
      <ddeItem name="@CTA[8-2-3-3-4-3491,F,7,#6]" advise="1">
        <values>
          <value>
            <val>0</val>
          </value>
        </values>
      </ddeItem>
      <ddeItem name="@CTA[8-2-3-3-4-3491,F,8,#6]" advise="1">
        <values>
          <value>
            <val>0</val>
          </value>
        </values>
      </ddeItem>
      <ddeItem name="@CTA[8-2-3-3-4-3491,F,9,#6]" advise="1">
        <values>
          <value>
            <val>0</val>
          </value>
        </values>
      </ddeItem>
      <ddeItem name="@CTA[8-2-3-3-5,F,#5]" advise="1">
        <values>
          <value>
            <val>1.1641532182693481E-10</val>
          </value>
        </values>
      </ddeItem>
      <ddeItem name="@CTA[8-2-3-3-5-3511,F,1,#6]" advise="1">
        <values>
          <value>
            <val>0</val>
          </value>
        </values>
      </ddeItem>
      <ddeItem name="@CTA[8-2-3-3-5-3511,F,2,#6]" advise="1">
        <values>
          <value>
            <val>0</val>
          </value>
        </values>
      </ddeItem>
      <ddeItem name="@CTA[8-2-3-3-5-3511,F,3,#6]" advise="1">
        <values>
          <value>
            <val>0</val>
          </value>
        </values>
      </ddeItem>
      <ddeItem name="@CTA[8-2-3-3-5-3511,F,4,#6]" advise="1">
        <values>
          <value>
            <val>0</val>
          </value>
        </values>
      </ddeItem>
      <ddeItem name="@CTA[8-2-3-3-5-3511,F,5,#6]" advise="1">
        <values>
          <value>
            <val>0</val>
          </value>
        </values>
      </ddeItem>
      <ddeItem name="@CTA[8-2-3-3-5-3511,F,6,#6]" advise="1">
        <values>
          <value t="nil">
            <val>1</val>
          </value>
        </values>
      </ddeItem>
      <ddeItem name="@CTA[8-2-3-3-5-3511,F,7,#6]" advise="1">
        <values>
          <value>
            <val>1.4551915228366852E-11</val>
          </value>
        </values>
      </ddeItem>
      <ddeItem name="@CTA[8-2-3-3-5-3511,F,8,#6]" advise="1">
        <values>
          <value t="nil">
            <val>1</val>
          </value>
        </values>
      </ddeItem>
      <ddeItem name="@CTA[8-2-3-3-5-3511,F,9,#6]" advise="1">
        <values>
          <value t="nil">
            <val>1</val>
          </value>
        </values>
      </ddeItem>
      <ddeItem name="@CTA[8-2-3-3-5-3521,F,1,#6]" advise="1">
        <values>
          <value t="nil">
            <val>1</val>
          </value>
        </values>
      </ddeItem>
      <ddeItem name="@CTA[8-2-3-3-5-3521,F,2,#6]" advise="1">
        <values>
          <value t="nil">
            <val>1</val>
          </value>
        </values>
      </ddeItem>
      <ddeItem name="@CTA[8-2-3-3-5-3521,F,3,#6]" advise="1">
        <values>
          <value t="nil">
            <val>1</val>
          </value>
        </values>
      </ddeItem>
      <ddeItem name="@CTA[8-2-3-3-5-3521,F,4,#6]" advise="1">
        <values>
          <value t="nil">
            <val>1</val>
          </value>
        </values>
      </ddeItem>
      <ddeItem name="@CTA[8-2-3-3-5-3521,F,5,#6]" advise="1">
        <values>
          <value t="nil">
            <val>1</val>
          </value>
        </values>
      </ddeItem>
      <ddeItem name="@CTA[8-2-3-3-5-3521,F,6,#6]" advise="1">
        <values>
          <value t="nil">
            <val>1</val>
          </value>
        </values>
      </ddeItem>
      <ddeItem name="@CTA[8-2-3-3-5-3521,F,7,#6]" advise="1">
        <values>
          <value t="nil">
            <val>1</val>
          </value>
        </values>
      </ddeItem>
      <ddeItem name="@CTA[8-2-3-3-5-3521,F,8,#6]" advise="1">
        <values>
          <value t="nil">
            <val>1</val>
          </value>
        </values>
      </ddeItem>
      <ddeItem name="@CTA[8-2-3-3-5-3521,F,9,#6]" advise="1">
        <values>
          <value t="nil">
            <val>1</val>
          </value>
        </values>
      </ddeItem>
      <ddeItem name="@CTA[8-2-3-3-5-3531,F,1,#6]" advise="1">
        <values>
          <value t="nil">
            <val>1</val>
          </value>
        </values>
      </ddeItem>
      <ddeItem name="@CTA[8-2-3-3-5-3531,F,2,#6]" advise="1">
        <values>
          <value t="nil">
            <val>1</val>
          </value>
        </values>
      </ddeItem>
      <ddeItem name="@CTA[8-2-3-3-5-3531,F,3,#6]" advise="1">
        <values>
          <value t="nil">
            <val>1</val>
          </value>
        </values>
      </ddeItem>
      <ddeItem name="@CTA[8-2-3-3-5-3531,F,4,#6]" advise="1">
        <values>
          <value t="nil">
            <val>1</val>
          </value>
        </values>
      </ddeItem>
      <ddeItem name="@CTA[8-2-3-3-5-3531,F,5,#6]" advise="1">
        <values>
          <value>
            <val>0</val>
          </value>
        </values>
      </ddeItem>
      <ddeItem name="@CTA[8-2-3-3-5-3531,F,6,#6]" advise="1">
        <values>
          <value>
            <val>0</val>
          </value>
        </values>
      </ddeItem>
      <ddeItem name="@CTA[8-2-3-3-5-3531,F,7,#6]" advise="1">
        <values>
          <value t="nil">
            <val>1</val>
          </value>
        </values>
      </ddeItem>
      <ddeItem name="@CTA[8-2-3-3-5-3531,F,8,#6]" advise="1">
        <values>
          <value t="nil">
            <val>1</val>
          </value>
        </values>
      </ddeItem>
      <ddeItem name="@CTA[8-2-3-3-5-3531,F,9,#6]" advise="1">
        <values>
          <value t="nil">
            <val>1</val>
          </value>
        </values>
      </ddeItem>
      <ddeItem name="@CTA[8-2-3-3-5-3551,F,1,#6]" advise="1">
        <values>
          <value>
            <val>0</val>
          </value>
        </values>
      </ddeItem>
      <ddeItem name="@CTA[8-2-3-3-5-3551,F,2,#6]" advise="1">
        <values>
          <value>
            <val>0</val>
          </value>
        </values>
      </ddeItem>
      <ddeItem name="@CTA[8-2-3-3-5-3551,F,3,#6]" advise="1">
        <values>
          <value t="nil">
            <val>1</val>
          </value>
        </values>
      </ddeItem>
      <ddeItem name="@CTA[8-2-3-3-5-3551,F,4,#6]" advise="1">
        <values>
          <value>
            <val>0</val>
          </value>
        </values>
      </ddeItem>
      <ddeItem name="@CTA[8-2-3-3-5-3551,F,5,#6]" advise="1">
        <values>
          <value>
            <val>0</val>
          </value>
        </values>
      </ddeItem>
      <ddeItem name="@CTA[8-2-3-3-5-3551,F,6,#6]" advise="1">
        <values>
          <value t="nil">
            <val>1</val>
          </value>
        </values>
      </ddeItem>
      <ddeItem name="@CTA[8-2-3-3-5-3551,F,7,#6]" advise="1">
        <values>
          <value>
            <val>0</val>
          </value>
        </values>
      </ddeItem>
      <ddeItem name="@CTA[8-2-3-3-5-3551,F,8,#6]" advise="1">
        <values>
          <value>
            <val>0</val>
          </value>
        </values>
      </ddeItem>
      <ddeItem name="@CTA[8-2-3-3-5-3551,F,9,#6]" advise="1">
        <values>
          <value>
            <val>0</val>
          </value>
        </values>
      </ddeItem>
      <ddeItem name="@CTA[8-2-3-3-5-3571,F,1,#6]" advise="1">
        <values>
          <value>
            <val>0</val>
          </value>
        </values>
      </ddeItem>
      <ddeItem name="@CTA[8-2-3-3-5-3571,F,2,#6]" advise="1">
        <values>
          <value t="nil">
            <val>1</val>
          </value>
        </values>
      </ddeItem>
      <ddeItem name="@CTA[8-2-3-3-5-3571,F,3,#6]" advise="1">
        <values>
          <value>
            <val>0</val>
          </value>
        </values>
      </ddeItem>
      <ddeItem name="@CTA[8-2-3-3-5-3571,F,4,#6]" advise="1">
        <values>
          <value>
            <val>0</val>
          </value>
        </values>
      </ddeItem>
      <ddeItem name="@CTA[8-2-3-3-5-3571,F,5,#6]" advise="1">
        <values>
          <value>
            <val>0</val>
          </value>
        </values>
      </ddeItem>
      <ddeItem name="@CTA[8-2-3-3-5-3571,F,6,#6]" advise="1">
        <values>
          <value>
            <val>0</val>
          </value>
        </values>
      </ddeItem>
      <ddeItem name="@CTA[8-2-3-3-5-3571,F,7,#6]" advise="1">
        <values>
          <value>
            <val>0</val>
          </value>
        </values>
      </ddeItem>
      <ddeItem name="@CTA[8-2-3-3-5-3571,F,8,#6]" advise="1">
        <values>
          <value>
            <val>0</val>
          </value>
        </values>
      </ddeItem>
      <ddeItem name="@CTA[8-2-3-3-5-3571,F,9,#6]" advise="1">
        <values>
          <value t="nil">
            <val>1</val>
          </value>
        </values>
      </ddeItem>
      <ddeItem name="@CTA[8-2-3-3-5-3572,F,1,#6]" advise="1">
        <values>
          <value t="nil">
            <val>1</val>
          </value>
        </values>
      </ddeItem>
      <ddeItem name="@CTA[8-2-3-3-5-3572,F,2,#6]" advise="1">
        <values>
          <value t="nil">
            <val>1</val>
          </value>
        </values>
      </ddeItem>
      <ddeItem name="@CTA[8-2-3-3-5-3572,F,3,#6]" advise="1">
        <values>
          <value t="nil">
            <val>1</val>
          </value>
        </values>
      </ddeItem>
      <ddeItem name="@CTA[8-2-3-3-5-3572,F,4,#6]" advise="1">
        <values>
          <value t="nil">
            <val>1</val>
          </value>
        </values>
      </ddeItem>
      <ddeItem name="@CTA[8-2-3-3-5-3572,F,5,#6]" advise="1">
        <values>
          <value t="nil">
            <val>1</val>
          </value>
        </values>
      </ddeItem>
      <ddeItem name="@CTA[8-2-3-3-5-3572,F,6,#6]" advise="1">
        <values>
          <value t="nil">
            <val>1</val>
          </value>
        </values>
      </ddeItem>
      <ddeItem name="@CTA[8-2-3-3-5-3572,F,7,#6]" advise="1">
        <values>
          <value>
            <val>0</val>
          </value>
        </values>
      </ddeItem>
      <ddeItem name="@CTA[8-2-3-3-5-3572,F,8,#6]" advise="1">
        <values>
          <value t="nil">
            <val>1</val>
          </value>
        </values>
      </ddeItem>
      <ddeItem name="@CTA[8-2-3-3-5-3572,F,9,#6]" advise="1">
        <values>
          <value t="nil">
            <val>1</val>
          </value>
        </values>
      </ddeItem>
      <ddeItem name="@CTA[8-2-3-3-5-3573,F,1,#6]" advise="1">
        <values>
          <value t="nil">
            <val>1</val>
          </value>
        </values>
      </ddeItem>
      <ddeItem name="@CTA[8-2-3-3-5-3573,F,2,#6]" advise="1">
        <values>
          <value t="nil">
            <val>1</val>
          </value>
        </values>
      </ddeItem>
      <ddeItem name="@CTA[8-2-3-3-5-3573,F,3,#6]" advise="1">
        <values>
          <value t="nil">
            <val>1</val>
          </value>
        </values>
      </ddeItem>
      <ddeItem name="@CTA[8-2-3-3-5-3573,F,4,#6]" advise="1">
        <values>
          <value t="nil">
            <val>1</val>
          </value>
        </values>
      </ddeItem>
      <ddeItem name="@CTA[8-2-3-3-5-3573,F,5,#6]" advise="1">
        <values>
          <value t="nil">
            <val>1</val>
          </value>
        </values>
      </ddeItem>
      <ddeItem name="@CTA[8-2-3-3-5-3573,F,6,#6]" advise="1">
        <values>
          <value t="nil">
            <val>1</val>
          </value>
        </values>
      </ddeItem>
      <ddeItem name="@CTA[8-2-3-3-5-3573,F,7,#6]" advise="1">
        <values>
          <value>
            <val>-3.637978807091713E-12</val>
          </value>
        </values>
      </ddeItem>
      <ddeItem name="@CTA[8-2-3-3-5-3573,F,8,#6]" advise="1">
        <values>
          <value t="nil">
            <val>1</val>
          </value>
        </values>
      </ddeItem>
      <ddeItem name="@CTA[8-2-3-3-5-3573,F,9,#6]" advise="1">
        <values>
          <value t="nil">
            <val>1</val>
          </value>
        </values>
      </ddeItem>
      <ddeItem name="@CTA[8-2-3-3-5-3574,F,1,#6]" advise="1">
        <values>
          <value t="nil">
            <val>1</val>
          </value>
        </values>
      </ddeItem>
      <ddeItem name="@CTA[8-2-3-3-5-3574,F,2,#6]" advise="1">
        <values>
          <value t="nil">
            <val>1</val>
          </value>
        </values>
      </ddeItem>
      <ddeItem name="@CTA[8-2-3-3-5-3574,F,3,#6]" advise="1">
        <values>
          <value t="nil">
            <val>1</val>
          </value>
        </values>
      </ddeItem>
      <ddeItem name="@CTA[8-2-3-3-5-3574,F,4,#6]" advise="1">
        <values>
          <value t="nil">
            <val>1</val>
          </value>
        </values>
      </ddeItem>
      <ddeItem name="@CTA[8-2-3-3-5-3574,F,5,#6]" advise="1">
        <values>
          <value t="nil">
            <val>1</val>
          </value>
        </values>
      </ddeItem>
      <ddeItem name="@CTA[8-2-3-3-5-3574,F,6,#6]" advise="1">
        <values>
          <value t="nil">
            <val>1</val>
          </value>
        </values>
      </ddeItem>
      <ddeItem name="@CTA[8-2-3-3-5-3574,F,7,#6]" advise="1">
        <values>
          <value>
            <val>0</val>
          </value>
        </values>
      </ddeItem>
      <ddeItem name="@CTA[8-2-3-3-5-3574,F,8,#6]" advise="1">
        <values>
          <value t="nil">
            <val>1</val>
          </value>
        </values>
      </ddeItem>
      <ddeItem name="@CTA[8-2-3-3-5-3574,F,9,#6]" advise="1">
        <values>
          <value t="nil">
            <val>1</val>
          </value>
        </values>
      </ddeItem>
      <ddeItem name="@CTA[8-2-3-3-5-3575,F,1,#6]" advise="1">
        <values>
          <value t="nil">
            <val>1</val>
          </value>
        </values>
      </ddeItem>
      <ddeItem name="@CTA[8-2-3-3-5-3575,F,2,#6]" advise="1">
        <values>
          <value t="nil">
            <val>1</val>
          </value>
        </values>
      </ddeItem>
      <ddeItem name="@CTA[8-2-3-3-5-3575,F,3,#6]" advise="1">
        <values>
          <value t="nil">
            <val>1</val>
          </value>
        </values>
      </ddeItem>
      <ddeItem name="@CTA[8-2-3-3-5-3575,F,4,#6]" advise="1">
        <values>
          <value t="nil">
            <val>1</val>
          </value>
        </values>
      </ddeItem>
      <ddeItem name="@CTA[8-2-3-3-5-3575,F,5,#6]" advise="1">
        <values>
          <value t="nil">
            <val>1</val>
          </value>
        </values>
      </ddeItem>
      <ddeItem name="@CTA[8-2-3-3-5-3575,F,6,#6]" advise="1">
        <values>
          <value t="nil">
            <val>1</val>
          </value>
        </values>
      </ddeItem>
      <ddeItem name="@CTA[8-2-3-3-5-3575,F,7,#6]" advise="1">
        <values>
          <value>
            <val>0</val>
          </value>
        </values>
      </ddeItem>
      <ddeItem name="@CTA[8-2-3-3-5-3575,F,8,#6]" advise="1">
        <values>
          <value t="nil">
            <val>1</val>
          </value>
        </values>
      </ddeItem>
      <ddeItem name="@CTA[8-2-3-3-5-3575,F,9,#6]" advise="1">
        <values>
          <value t="nil">
            <val>1</val>
          </value>
        </values>
      </ddeItem>
      <ddeItem name="@CTA[8-2-3-3-5-3576,F,1,#6]" advise="1">
        <values>
          <value t="nil">
            <val>1</val>
          </value>
        </values>
      </ddeItem>
      <ddeItem name="@CTA[8-2-3-3-5-3576,F,2,#6]" advise="1">
        <values>
          <value t="nil">
            <val>1</val>
          </value>
        </values>
      </ddeItem>
      <ddeItem name="@CTA[8-2-3-3-5-3576,F,3,#6]" advise="1">
        <values>
          <value t="nil">
            <val>1</val>
          </value>
        </values>
      </ddeItem>
      <ddeItem name="@CTA[8-2-3-3-5-3576,F,4,#6]" advise="1">
        <values>
          <value t="nil">
            <val>1</val>
          </value>
        </values>
      </ddeItem>
      <ddeItem name="@CTA[8-2-3-3-5-3576,F,5,#6]" advise="1">
        <values>
          <value t="nil">
            <val>1</val>
          </value>
        </values>
      </ddeItem>
      <ddeItem name="@CTA[8-2-3-3-5-3576,F,6,#6]" advise="1">
        <values>
          <value t="nil">
            <val>1</val>
          </value>
        </values>
      </ddeItem>
      <ddeItem name="@CTA[8-2-3-3-5-3576,F,7,#6]" advise="1">
        <values>
          <value>
            <val>0</val>
          </value>
        </values>
      </ddeItem>
      <ddeItem name="@CTA[8-2-3-3-5-3576,F,8,#6]" advise="1">
        <values>
          <value t="nil">
            <val>1</val>
          </value>
        </values>
      </ddeItem>
      <ddeItem name="@CTA[8-2-3-3-5-3576,F,9,#6]" advise="1">
        <values>
          <value t="nil">
            <val>1</val>
          </value>
        </values>
      </ddeItem>
      <ddeItem name="@CTA[8-2-3-3-5-3577,F,1,#6]" advise="1">
        <values>
          <value t="nil">
            <val>1</val>
          </value>
        </values>
      </ddeItem>
      <ddeItem name="@CTA[8-2-3-3-5-3577,F,2,#6]" advise="1">
        <values>
          <value t="nil">
            <val>1</val>
          </value>
        </values>
      </ddeItem>
      <ddeItem name="@CTA[8-2-3-3-5-3577,F,3,#6]" advise="1">
        <values>
          <value t="nil">
            <val>1</val>
          </value>
        </values>
      </ddeItem>
      <ddeItem name="@CTA[8-2-3-3-5-3577,F,4,#6]" advise="1">
        <values>
          <value t="nil">
            <val>1</val>
          </value>
        </values>
      </ddeItem>
      <ddeItem name="@CTA[8-2-3-3-5-3577,F,5,#6]" advise="1">
        <values>
          <value t="nil">
            <val>1</val>
          </value>
        </values>
      </ddeItem>
      <ddeItem name="@CTA[8-2-3-3-5-3577,F,6,#6]" advise="1">
        <values>
          <value t="nil">
            <val>1</val>
          </value>
        </values>
      </ddeItem>
      <ddeItem name="@CTA[8-2-3-3-5-3577,F,7,#6]" advise="1">
        <values>
          <value>
            <val>0</val>
          </value>
        </values>
      </ddeItem>
      <ddeItem name="@CTA[8-2-3-3-5-3577,F,8,#6]" advise="1">
        <values>
          <value t="nil">
            <val>1</val>
          </value>
        </values>
      </ddeItem>
      <ddeItem name="@CTA[8-2-3-3-5-3577,F,9,#6]" advise="1">
        <values>
          <value t="nil">
            <val>1</val>
          </value>
        </values>
      </ddeItem>
      <ddeItem name="@CTA[8-2-3-3-6,F,#5]" advise="1">
        <values>
          <value>
            <val>-70586</val>
          </value>
        </values>
      </ddeItem>
      <ddeItem name="@CTA[8-2-3-3-6-3611,F,1,#6]" advise="1">
        <values>
          <value t="nil">
            <val>1</val>
          </value>
        </values>
      </ddeItem>
      <ddeItem name="@CTA[8-2-3-3-6-3611,F,2,#6]" advise="1">
        <values>
          <value>
            <val>0</val>
          </value>
        </values>
      </ddeItem>
      <ddeItem name="@CTA[8-2-3-3-6-3611,F,3,#6]" advise="1">
        <values>
          <value>
            <val>0</val>
          </value>
        </values>
      </ddeItem>
      <ddeItem name="@CTA[8-2-3-3-6-3611,F,4,#6]" advise="1">
        <values>
          <value t="nil">
            <val>1</val>
          </value>
        </values>
      </ddeItem>
      <ddeItem name="@CTA[8-2-3-3-6-3611,F,5,#6]" advise="1">
        <values>
          <value>
            <val>0</val>
          </value>
        </values>
      </ddeItem>
      <ddeItem name="@CTA[8-2-3-3-6-3611,F,6,#6]" advise="1">
        <values>
          <value t="nil">
            <val>1</val>
          </value>
        </values>
      </ddeItem>
      <ddeItem name="@CTA[8-2-3-3-6-3611,F,7,#6]" advise="1">
        <values>
          <value>
            <val>0</val>
          </value>
        </values>
      </ddeItem>
      <ddeItem name="@CTA[8-2-3-3-6-3611,F,8,#6]" advise="1">
        <values>
          <value>
            <val>-70586</val>
          </value>
        </values>
      </ddeItem>
      <ddeItem name="@CTA[8-2-3-3-6-3611,F,9,#6]" advise="1">
        <values>
          <value t="nil">
            <val>1</val>
          </value>
        </values>
      </ddeItem>
      <ddeItem name="@CTA[8-2-3-3-7,F,#5]" advise="1">
        <values>
          <value>
            <val>7.2759576141834259E-12</val>
          </value>
        </values>
      </ddeItem>
      <ddeItem name="@CTA[8-2-3-3-7-3721,F,1,#6]" advise="1">
        <values>
          <value>
            <val>9.0949470177292824E-13</val>
          </value>
        </values>
      </ddeItem>
      <ddeItem name="@CTA[8-2-3-3-7-3721,F,2,#6]" advise="1">
        <values>
          <value>
            <val>0</val>
          </value>
        </values>
      </ddeItem>
      <ddeItem name="@CTA[8-2-3-3-7-3721,F,3,#6]" advise="1">
        <values>
          <value>
            <val>0</val>
          </value>
        </values>
      </ddeItem>
      <ddeItem name="@CTA[8-2-3-3-7-3721,F,4,#6]" advise="1">
        <values>
          <value>
            <val>0</val>
          </value>
        </values>
      </ddeItem>
      <ddeItem name="@CTA[8-2-3-3-7-3721,F,5,#6]" advise="1">
        <values>
          <value>
            <val>0</val>
          </value>
        </values>
      </ddeItem>
      <ddeItem name="@CTA[8-2-3-3-7-3721,F,6,#6]" advise="1">
        <values>
          <value>
            <val>0</val>
          </value>
        </values>
      </ddeItem>
      <ddeItem name="@CTA[8-2-3-3-7-3721,F,7,#6]" advise="1">
        <values>
          <value>
            <val>0</val>
          </value>
        </values>
      </ddeItem>
      <ddeItem name="@CTA[8-2-3-3-7-3721,F,8,#6]" advise="1">
        <values>
          <value>
            <val>0</val>
          </value>
        </values>
      </ddeItem>
      <ddeItem name="@CTA[8-2-3-3-7-3721,F,9,#6]" advise="1">
        <values>
          <value>
            <val>0</val>
          </value>
        </values>
      </ddeItem>
      <ddeItem name="@CTA[8-2-3-3-7-3722,F,1,#6]" advise="1">
        <values>
          <value t="nil">
            <val>1</val>
          </value>
        </values>
      </ddeItem>
      <ddeItem name="@CTA[8-2-3-3-7-3722,F,2,#6]" advise="1">
        <values>
          <value t="nil">
            <val>1</val>
          </value>
        </values>
      </ddeItem>
      <ddeItem name="@CTA[8-2-3-3-7-3722,F,3,#6]" advise="1">
        <values>
          <value t="nil">
            <val>1</val>
          </value>
        </values>
      </ddeItem>
      <ddeItem name="@CTA[8-2-3-3-7-3722,F,4,#6]" advise="1">
        <values>
          <value t="nil">
            <val>1</val>
          </value>
        </values>
      </ddeItem>
      <ddeItem name="@CTA[8-2-3-3-7-3722,F,5,#6]" advise="1">
        <values>
          <value t="nil">
            <val>1</val>
          </value>
        </values>
      </ddeItem>
      <ddeItem name="@CTA[8-2-3-3-7-3722,F,6,#6]" advise="1">
        <values>
          <value t="nil">
            <val>1</val>
          </value>
        </values>
      </ddeItem>
      <ddeItem name="@CTA[8-2-3-3-7-3722,F,7,#6]" advise="1">
        <values>
          <value t="nil">
            <val>1</val>
          </value>
        </values>
      </ddeItem>
      <ddeItem name="@CTA[8-2-3-3-7-3722,F,8,#6]" advise="1">
        <values>
          <value t="nil">
            <val>1</val>
          </value>
        </values>
      </ddeItem>
      <ddeItem name="@CTA[8-2-3-3-7-3722,F,9,#6]" advise="1">
        <values>
          <value t="nil">
            <val>1</val>
          </value>
        </values>
      </ddeItem>
      <ddeItem name="@CTA[8-2-3-3-7-3751,F,1,#6]" advise="1">
        <values>
          <value>
            <val>0</val>
          </value>
        </values>
      </ddeItem>
      <ddeItem name="@CTA[8-2-3-3-7-3751,F,2,#6]" advise="1">
        <values>
          <value>
            <val>0</val>
          </value>
        </values>
      </ddeItem>
      <ddeItem name="@CTA[8-2-3-3-7-3751,F,3,#6]" advise="1">
        <values>
          <value>
            <val>0</val>
          </value>
        </values>
      </ddeItem>
      <ddeItem name="@CTA[8-2-3-3-7-3751,F,4,#6]" advise="1">
        <values>
          <value>
            <val>0</val>
          </value>
        </values>
      </ddeItem>
      <ddeItem name="@CTA[8-2-3-3-7-3751,F,5,#6]" advise="1">
        <values>
          <value>
            <val>0</val>
          </value>
        </values>
      </ddeItem>
      <ddeItem name="@CTA[8-2-3-3-7-3751,F,6,#6]" advise="1">
        <values>
          <value>
            <val>0</val>
          </value>
        </values>
      </ddeItem>
      <ddeItem name="@CTA[8-2-3-3-7-3751,F,7,#6]" advise="1">
        <values>
          <value>
            <val>0</val>
          </value>
        </values>
      </ddeItem>
      <ddeItem name="@CTA[8-2-3-3-7-3751,F,8,#6]" advise="1">
        <values>
          <value>
            <val>3.637978807091713E-12</val>
          </value>
        </values>
      </ddeItem>
      <ddeItem name="@CTA[8-2-3-3-7-3751,F,9,#6]" advise="1">
        <values>
          <value>
            <val>0</val>
          </value>
        </values>
      </ddeItem>
      <ddeItem name="@CTA[8-2-3-3-8,F,#5]" advise="1">
        <values>
          <value>
            <val>2.9103830456733704E-11</val>
          </value>
        </values>
      </ddeItem>
      <ddeItem name="@CTA[8-2-3-3-8-3821,F,1,#6]" advise="1">
        <values>
          <value>
            <val>0</val>
          </value>
        </values>
      </ddeItem>
      <ddeItem name="@CTA[8-2-3-3-8-3821,F,2,#6]" advise="1">
        <values>
          <value t="nil">
            <val>1</val>
          </value>
        </values>
      </ddeItem>
      <ddeItem name="@CTA[8-2-3-3-8-3821,F,3,#6]" advise="1">
        <values>
          <value>
            <val>0</val>
          </value>
        </values>
      </ddeItem>
      <ddeItem name="@CTA[8-2-3-3-8-3821,F,4,#6]" advise="1">
        <values>
          <value t="nil">
            <val>1</val>
          </value>
        </values>
      </ddeItem>
      <ddeItem name="@CTA[8-2-3-3-8-3821,F,5,#6]" advise="1">
        <values>
          <value>
            <val>0</val>
          </value>
        </values>
      </ddeItem>
      <ddeItem name="@CTA[8-2-3-3-8-3821,F,6,#6]" advise="1">
        <values>
          <value t="nil">
            <val>1</val>
          </value>
        </values>
      </ddeItem>
      <ddeItem name="@CTA[8-2-3-3-8-3821,F,7,#6]" advise="1">
        <values>
          <value t="nil">
            <val>1</val>
          </value>
        </values>
      </ddeItem>
      <ddeItem name="@CTA[8-2-3-3-8-3821,F,8,#6]" advise="1">
        <values>
          <value>
            <val>0</val>
          </value>
        </values>
      </ddeItem>
      <ddeItem name="@CTA[8-2-3-3-8-3821,F,9,#6]" advise="1">
        <values>
          <value t="nil">
            <val>1</val>
          </value>
        </values>
      </ddeItem>
      <ddeItem name="@CTA[8-2-3-3-8-3822,F,1,#6]" advise="1">
        <values>
          <value>
            <val>0</val>
          </value>
        </values>
      </ddeItem>
      <ddeItem name="@CTA[8-2-3-3-8-3822,F,2,#6]" advise="1">
        <values>
          <value>
            <val>0</val>
          </value>
        </values>
      </ddeItem>
      <ddeItem name="@CTA[8-2-3-3-8-3822,F,3,#6]" advise="1">
        <values>
          <value t="nil">
            <val>1</val>
          </value>
        </values>
      </ddeItem>
      <ddeItem name="@CTA[8-2-3-3-8-3822,F,4,#6]" advise="1">
        <values>
          <value t="nil">
            <val>1</val>
          </value>
        </values>
      </ddeItem>
      <ddeItem name="@CTA[8-2-3-3-8-3822,F,5,#6]" advise="1">
        <values>
          <value>
            <val>0</val>
          </value>
        </values>
      </ddeItem>
      <ddeItem name="@CTA[8-2-3-3-8-3822,F,6,#6]" advise="1">
        <values>
          <value t="nil">
            <val>1</val>
          </value>
        </values>
      </ddeItem>
      <ddeItem name="@CTA[8-2-3-3-8-3822,F,7,#6]" advise="1">
        <values>
          <value>
            <val>0</val>
          </value>
        </values>
      </ddeItem>
      <ddeItem name="@CTA[8-2-3-3-8-3822,F,8,#6]" advise="1">
        <values>
          <value>
            <val>0</val>
          </value>
        </values>
      </ddeItem>
      <ddeItem name="@CTA[8-2-3-3-8-3822,F,9,#6]" advise="1">
        <values>
          <value t="nil">
            <val>1</val>
          </value>
        </values>
      </ddeItem>
      <ddeItem name="@CTA[8-2-3-3-8-3831,F,1,#6]" advise="1">
        <values>
          <value>
            <val>0</val>
          </value>
        </values>
      </ddeItem>
      <ddeItem name="@CTA[8-2-3-3-8-3831,F,2,#6]" advise="1">
        <values>
          <value t="nil">
            <val>1</val>
          </value>
        </values>
      </ddeItem>
      <ddeItem name="@CTA[8-2-3-3-8-3831,F,3,#6]" advise="1">
        <values>
          <value>
            <val>0</val>
          </value>
        </values>
      </ddeItem>
      <ddeItem name="@CTA[8-2-3-3-8-3831,F,4,#6]" advise="1">
        <values>
          <value t="nil">
            <val>1</val>
          </value>
        </values>
      </ddeItem>
      <ddeItem name="@CTA[8-2-3-3-8-3831,F,5,#6]" advise="1">
        <values>
          <value>
            <val>0</val>
          </value>
        </values>
      </ddeItem>
      <ddeItem name="@CTA[8-2-3-3-8-3831,F,6,#6]" advise="1">
        <values>
          <value t="nil">
            <val>1</val>
          </value>
        </values>
      </ddeItem>
      <ddeItem name="@CTA[8-2-3-3-8-3831,F,7,#6]" advise="1">
        <values>
          <value t="nil">
            <val>1</val>
          </value>
        </values>
      </ddeItem>
      <ddeItem name="@CTA[8-2-3-3-8-3831,F,8,#6]" advise="1">
        <values>
          <value>
            <val>0</val>
          </value>
        </values>
      </ddeItem>
      <ddeItem name="@CTA[8-2-3-3-8-3831,F,9,#6]" advise="1">
        <values>
          <value t="nil">
            <val>1</val>
          </value>
        </values>
      </ddeItem>
      <ddeItem name="@CTA[8-2-3-3-8-3851,F,1,#6]" advise="1">
        <values>
          <value t="nil">
            <val>1</val>
          </value>
        </values>
      </ddeItem>
      <ddeItem name="@CTA[8-2-3-3-8-3851,F,2,#6]" advise="1">
        <values>
          <value>
            <val>0</val>
          </value>
        </values>
      </ddeItem>
      <ddeItem name="@CTA[8-2-3-3-8-3851,F,3,#6]" advise="1">
        <values>
          <value t="nil">
            <val>1</val>
          </value>
        </values>
      </ddeItem>
      <ddeItem name="@CTA[8-2-3-3-8-3851,F,4,#6]" advise="1">
        <values>
          <value t="nil">
            <val>1</val>
          </value>
        </values>
      </ddeItem>
      <ddeItem name="@CTA[8-2-3-3-8-3851,F,5,#6]" advise="1">
        <values>
          <value t="nil">
            <val>1</val>
          </value>
        </values>
      </ddeItem>
      <ddeItem name="@CTA[8-2-3-3-8-3851,F,6,#6]" advise="1">
        <values>
          <value t="nil">
            <val>1</val>
          </value>
        </values>
      </ddeItem>
      <ddeItem name="@CTA[8-2-3-3-8-3851,F,7,#6]" advise="1">
        <values>
          <value t="nil">
            <val>1</val>
          </value>
        </values>
      </ddeItem>
      <ddeItem name="@CTA[8-2-3-3-8-3851,F,8,#6]" advise="1">
        <values>
          <value t="nil">
            <val>1</val>
          </value>
        </values>
      </ddeItem>
      <ddeItem name="@CTA[8-2-3-3-8-3851,F,9,#6]" advise="1">
        <values>
          <value t="nil">
            <val>1</val>
          </value>
        </values>
      </ddeItem>
      <ddeItem name="@CTA[8-2-3-3-9,F,#5]" advise="1">
        <values>
          <value>
            <val>31031.000000000291</val>
          </value>
        </values>
      </ddeItem>
      <ddeItem name="@CTA[8-2-3-3-9-3921,F,1,#6]" advise="1">
        <values>
          <value>
            <val>0</val>
          </value>
        </values>
      </ddeItem>
      <ddeItem name="@CTA[8-2-3-3-9-3921,F,2,#6]" advise="1">
        <values>
          <value t="nil">
            <val>1</val>
          </value>
        </values>
      </ddeItem>
      <ddeItem name="@CTA[8-2-3-3-9-3921,F,3,#6]" advise="1">
        <values>
          <value t="nil">
            <val>1</val>
          </value>
        </values>
      </ddeItem>
      <ddeItem name="@CTA[8-2-3-3-9-3921,F,4,#6]" advise="1">
        <values>
          <value t="nil">
            <val>1</val>
          </value>
        </values>
      </ddeItem>
      <ddeItem name="@CTA[8-2-3-3-9-3921,F,5,#6]" advise="1">
        <values>
          <value t="nil">
            <val>1</val>
          </value>
        </values>
      </ddeItem>
      <ddeItem name="@CTA[8-2-3-3-9-3921,F,6,#6]" advise="1">
        <values>
          <value t="nil">
            <val>1</val>
          </value>
        </values>
      </ddeItem>
      <ddeItem name="@CTA[8-2-3-3-9-3921,F,7,#6]" advise="1">
        <values>
          <value t="nil">
            <val>1</val>
          </value>
        </values>
      </ddeItem>
      <ddeItem name="@CTA[8-2-3-3-9-3921,F,8,#6]" advise="1">
        <values>
          <value t="nil">
            <val>1</val>
          </value>
        </values>
      </ddeItem>
      <ddeItem name="@CTA[8-2-3-3-9-3921,F,9,#6]" advise="1">
        <values>
          <value t="nil">
            <val>1</val>
          </value>
        </values>
      </ddeItem>
      <ddeItem name="@CTA[8-2-3-3-9-3922,F,1,#6]" advise="1">
        <values>
          <value t="nil">
            <val>1</val>
          </value>
        </values>
      </ddeItem>
      <ddeItem name="@CTA[8-2-3-3-9-3922,F,2,#6]" advise="1">
        <values>
          <value t="nil">
            <val>1</val>
          </value>
        </values>
      </ddeItem>
      <ddeItem name="@CTA[8-2-3-3-9-3922,F,3,#6]" advise="1">
        <values>
          <value t="nil">
            <val>1</val>
          </value>
        </values>
      </ddeItem>
      <ddeItem name="@CTA[8-2-3-3-9-3922,F,4,#6]" advise="1">
        <values>
          <value t="nil">
            <val>1</val>
          </value>
        </values>
      </ddeItem>
      <ddeItem name="@CTA[8-2-3-3-9-3922,F,5,#6]" advise="1">
        <values>
          <value t="nil">
            <val>1</val>
          </value>
        </values>
      </ddeItem>
      <ddeItem name="@CTA[8-2-3-3-9-3922,F,6,#6]" advise="1">
        <values>
          <value t="nil">
            <val>1</val>
          </value>
        </values>
      </ddeItem>
      <ddeItem name="@CTA[8-2-3-3-9-3922,F,7,#6]" advise="1">
        <values>
          <value>
            <val>0</val>
          </value>
        </values>
      </ddeItem>
      <ddeItem name="@CTA[8-2-3-3-9-3922,F,8,#6]" advise="1">
        <values>
          <value t="nil">
            <val>1</val>
          </value>
        </values>
      </ddeItem>
      <ddeItem name="@CTA[8-2-3-3-9-3922,F,9,#6]" advise="1">
        <values>
          <value t="nil">
            <val>1</val>
          </value>
        </values>
      </ddeItem>
      <ddeItem name="@CTA[8-2-3-3-9-3923,F,1,#6]" advise="1">
        <values>
          <value>
            <val>0</val>
          </value>
        </values>
      </ddeItem>
      <ddeItem name="@CTA[8-2-3-3-9-3923,F,2,#6]" advise="1">
        <values>
          <value>
            <val>0</val>
          </value>
        </values>
      </ddeItem>
      <ddeItem name="@CTA[8-2-3-3-9-3923,F,3,#6]" advise="1">
        <values>
          <value t="nil">
            <val>1</val>
          </value>
        </values>
      </ddeItem>
      <ddeItem name="@CTA[8-2-3-3-9-3923,F,4,#6]" advise="1">
        <values>
          <value t="nil">
            <val>1</val>
          </value>
        </values>
      </ddeItem>
      <ddeItem name="@CTA[8-2-3-3-9-3923,F,5,#6]" advise="1">
        <values>
          <value>
            <val>0</val>
          </value>
        </values>
      </ddeItem>
      <ddeItem name="@CTA[8-2-3-3-9-3923,F,6,#6]" advise="1">
        <values>
          <value t="nil">
            <val>1</val>
          </value>
        </values>
      </ddeItem>
      <ddeItem name="@CTA[8-2-3-3-9-3923,F,7,#6]" advise="1">
        <values>
          <value>
            <val>0</val>
          </value>
        </values>
      </ddeItem>
      <ddeItem name="@CTA[8-2-3-3-9-3923,F,8,#6]" advise="1">
        <values>
          <value>
            <val>0</val>
          </value>
        </values>
      </ddeItem>
      <ddeItem name="@CTA[8-2-3-3-9-3923,F,9,#6]" advise="1">
        <values>
          <value>
            <val>0</val>
          </value>
        </values>
      </ddeItem>
      <ddeItem name="@CTA[8-2-3-3-9-3924,F,1,#6]" advise="1">
        <values>
          <value>
            <val>0</val>
          </value>
        </values>
      </ddeItem>
      <ddeItem name="@CTA[8-2-3-3-9-3924,F,2,#6]" advise="1">
        <values>
          <value>
            <val>0</val>
          </value>
        </values>
      </ddeItem>
      <ddeItem name="@CTA[8-2-3-3-9-3924,F,3,#6]" advise="1">
        <values>
          <value>
            <val>0</val>
          </value>
        </values>
      </ddeItem>
      <ddeItem name="@CTA[8-2-3-3-9-3924,F,4,#6]" advise="1">
        <values>
          <value>
            <val>0</val>
          </value>
        </values>
      </ddeItem>
      <ddeItem name="@CTA[8-2-3-3-9-3924,F,5,#6]" advise="1">
        <values>
          <value>
            <val>0</val>
          </value>
        </values>
      </ddeItem>
      <ddeItem name="@CTA[8-2-3-3-9-3924,F,6,#6]" advise="1">
        <values>
          <value t="nil">
            <val>1</val>
          </value>
        </values>
      </ddeItem>
      <ddeItem name="@CTA[8-2-3-3-9-3924,F,7,#6]" advise="1">
        <values>
          <value>
            <val>0</val>
          </value>
        </values>
      </ddeItem>
      <ddeItem name="@CTA[8-2-3-3-9-3924,F,8,#6]" advise="1">
        <values>
          <value>
            <val>0</val>
          </value>
        </values>
      </ddeItem>
      <ddeItem name="@CTA[8-2-3-3-9-3924,F,9,#6]" advise="1">
        <values>
          <value>
            <val>0</val>
          </value>
        </values>
      </ddeItem>
      <ddeItem name="@CTA[8-2-3-3-9-3925,F,1,#6]" advise="1">
        <values>
          <value>
            <val>0</val>
          </value>
        </values>
      </ddeItem>
      <ddeItem name="@CTA[8-2-3-3-9-3925,F,2,#6]" advise="1">
        <values>
          <value>
            <val>0</val>
          </value>
        </values>
      </ddeItem>
      <ddeItem name="@CTA[8-2-3-3-9-3925,F,3,#6]" advise="1">
        <values>
          <value>
            <val>3800</val>
          </value>
        </values>
      </ddeItem>
      <ddeItem name="@CTA[8-2-3-3-9-3925,F,4,#6]" advise="1">
        <values>
          <value>
            <val>0</val>
          </value>
        </values>
      </ddeItem>
      <ddeItem name="@CTA[8-2-3-3-9-3925,F,5,#6]" advise="1">
        <values>
          <value>
            <val>-9.0949470177292824E-13</val>
          </value>
        </values>
      </ddeItem>
      <ddeItem name="@CTA[8-2-3-3-9-3925,F,6,#6]" advise="1">
        <values>
          <value>
            <val>0</val>
          </value>
        </values>
      </ddeItem>
      <ddeItem name="@CTA[8-2-3-3-9-3925,F,7,#6]" advise="1">
        <values>
          <value>
            <val>0</val>
          </value>
        </values>
      </ddeItem>
      <ddeItem name="@CTA[8-2-3-3-9-3925,F,8,#6]" advise="1">
        <values>
          <value>
            <val>0</val>
          </value>
        </values>
      </ddeItem>
      <ddeItem name="@CTA[8-2-3-3-9-3925,F,9,#6]" advise="1">
        <values>
          <value>
            <val>0</val>
          </value>
        </values>
      </ddeItem>
      <ddeItem name="@CTA[8-2-3-3-9-3926,F,1,#6]" advise="1">
        <values>
          <value t="nil">
            <val>1</val>
          </value>
        </values>
      </ddeItem>
      <ddeItem name="@CTA[8-2-3-3-9-3926,F,2,#6]" advise="1">
        <values>
          <value t="nil">
            <val>1</val>
          </value>
        </values>
      </ddeItem>
      <ddeItem name="@CTA[8-2-3-3-9-3926,F,3,#6]" advise="1">
        <values>
          <value>
            <val>0</val>
          </value>
        </values>
      </ddeItem>
      <ddeItem name="@CTA[8-2-3-3-9-3926,F,4,#6]" advise="1">
        <values>
          <value t="nil">
            <val>1</val>
          </value>
        </values>
      </ddeItem>
      <ddeItem name="@CTA[8-2-3-3-9-3926,F,5,#6]" advise="1">
        <values>
          <value t="nil">
            <val>1</val>
          </value>
        </values>
      </ddeItem>
      <ddeItem name="@CTA[8-2-3-3-9-3926,F,6,#6]" advise="1">
        <values>
          <value t="nil">
            <val>1</val>
          </value>
        </values>
      </ddeItem>
      <ddeItem name="@CTA[8-2-3-3-9-3926,F,7,#6]" advise="1">
        <values>
          <value t="nil">
            <val>1</val>
          </value>
        </values>
      </ddeItem>
      <ddeItem name="@CTA[8-2-3-3-9-3926,F,8,#6]" advise="1">
        <values>
          <value t="nil">
            <val>1</val>
          </value>
        </values>
      </ddeItem>
      <ddeItem name="@CTA[8-2-3-3-9-3926,F,9,#6]" advise="1">
        <values>
          <value t="nil">
            <val>1</val>
          </value>
        </values>
      </ddeItem>
      <ddeItem name="@CTA[8-2-3-3-9-3961,F,1,#6]" advise="1">
        <values>
          <value>
            <val>0</val>
          </value>
        </values>
      </ddeItem>
      <ddeItem name="@CTA[8-2-3-3-9-3961,F,2,#6]" advise="1">
        <values>
          <value>
            <val>0</val>
          </value>
        </values>
      </ddeItem>
      <ddeItem name="@CTA[8-2-3-3-9-3961,F,3,#6]" advise="1">
        <values>
          <value>
            <val>0</val>
          </value>
        </values>
      </ddeItem>
      <ddeItem name="@CTA[8-2-3-3-9-3961,F,4,#6]" advise="1">
        <values>
          <value t="nil">
            <val>1</val>
          </value>
        </values>
      </ddeItem>
      <ddeItem name="@CTA[8-2-3-3-9-3961,F,5,#6]" advise="1">
        <values>
          <value t="nil">
            <val>1</val>
          </value>
        </values>
      </ddeItem>
      <ddeItem name="@CTA[8-2-3-3-9-3961,F,6,#6]" advise="1">
        <values>
          <value t="nil">
            <val>1</val>
          </value>
        </values>
      </ddeItem>
      <ddeItem name="@CTA[8-2-3-3-9-3961,F,7,#6]" advise="1">
        <values>
          <value t="nil">
            <val>1</val>
          </value>
        </values>
      </ddeItem>
      <ddeItem name="@CTA[8-2-3-3-9-3961,F,8,#6]" advise="1">
        <values>
          <value t="nil">
            <val>1</val>
          </value>
        </values>
      </ddeItem>
      <ddeItem name="@CTA[8-2-3-3-9-3961,F,9,#6]" advise="1">
        <values>
          <value t="nil">
            <val>1</val>
          </value>
        </values>
      </ddeItem>
      <ddeItem name="@CTA[8-2-3-3-9-3962,F,1,#6]" advise="1">
        <values>
          <value>
            <val>0</val>
          </value>
        </values>
      </ddeItem>
      <ddeItem name="@CTA[8-2-3-3-9-3962,F,2,#6]" advise="1">
        <values>
          <value t="nil">
            <val>1</val>
          </value>
        </values>
      </ddeItem>
      <ddeItem name="@CTA[8-2-3-3-9-3962,F,3,#6]" advise="1">
        <values>
          <value>
            <val>0</val>
          </value>
        </values>
      </ddeItem>
      <ddeItem name="@CTA[8-2-3-3-9-3962,F,4,#6]" advise="1">
        <values>
          <value>
            <val>0</val>
          </value>
        </values>
      </ddeItem>
      <ddeItem name="@CTA[8-2-3-3-9-3962,F,5,#6]" advise="1">
        <values>
          <value>
            <val>0</val>
          </value>
        </values>
      </ddeItem>
      <ddeItem name="@CTA[8-2-3-3-9-3962,F,6,#6]" advise="1">
        <values>
          <value t="nil">
            <val>1</val>
          </value>
        </values>
      </ddeItem>
      <ddeItem name="@CTA[8-2-3-3-9-3962,F,7,#6]" advise="1">
        <values>
          <value>
            <val>0</val>
          </value>
        </values>
      </ddeItem>
      <ddeItem name="@CTA[8-2-3-3-9-3962,F,8,#6]" advise="1">
        <values>
          <value>
            <val>0</val>
          </value>
        </values>
      </ddeItem>
      <ddeItem name="@CTA[8-2-3-3-9-3962,F,9,#6]" advise="1">
        <values>
          <value t="nil">
            <val>1</val>
          </value>
        </values>
      </ddeItem>
      <ddeItem name="@CTA[8-2-3-3-9-3981,F,1,#6]" advise="1">
        <values>
          <value>
            <val>10451.66</val>
          </value>
        </values>
      </ddeItem>
      <ddeItem name="@CTA[8-2-3-3-9-3981,F,2,#6]" advise="1">
        <values>
          <value>
            <val>2319.2800000000002</val>
          </value>
        </values>
      </ddeItem>
      <ddeItem name="@CTA[8-2-3-3-9-3981,F,3,#6]" advise="1">
        <values>
          <value>
            <val>3357.41</val>
          </value>
        </values>
      </ddeItem>
      <ddeItem name="@CTA[8-2-3-3-9-3981,F,4,#6]" advise="1">
        <values>
          <value>
            <val>2274.92</val>
          </value>
        </values>
      </ddeItem>
      <ddeItem name="@CTA[8-2-3-3-9-3981,F,5,#6]" advise="1">
        <values>
          <value>
            <val>3253.35</val>
          </value>
        </values>
      </ddeItem>
      <ddeItem name="@CTA[8-2-3-3-9-3981,F,6,#6]" advise="1">
        <values>
          <value>
            <val>875.19</val>
          </value>
        </values>
      </ddeItem>
      <ddeItem name="@CTA[8-2-3-3-9-3981,F,7,#6]" advise="1">
        <values>
          <value>
            <val>2689.15</val>
          </value>
        </values>
      </ddeItem>
      <ddeItem name="@CTA[8-2-3-3-9-3981,F,8,#6]" advise="1">
        <values>
          <value>
            <val>888.97</val>
          </value>
        </values>
      </ddeItem>
      <ddeItem name="@CTA[8-2-3-3-9-3981,F,9,#6]" advise="1">
        <values>
          <value>
            <val>1121.07</val>
          </value>
        </values>
      </ddeItem>
      <ddeItem name="@CTA[8-2-3-4,F,#4]" advise="1">
        <values>
          <value t="nil">
            <val>1</val>
          </value>
        </values>
      </ddeItem>
      <ddeItem name="@CTA[8-2-3-4-1,F,#5]" advise="1">
        <values>
          <value t="nil">
            <val>1</val>
          </value>
        </values>
      </ddeItem>
      <ddeItem name="@CTA[8-2-3-4-2,F,#5]" advise="1">
        <values>
          <value t="nil">
            <val>1</val>
          </value>
        </values>
      </ddeItem>
      <ddeItem name="@CTA[8-2-3-4-3,F,#5]" advise="1">
        <values>
          <value t="nil">
            <val>1</val>
          </value>
        </values>
      </ddeItem>
      <ddeItem name="@CTA[8-2-3-4-4,F,#5]" advise="1">
        <values>
          <value t="nil">
            <val>1</val>
          </value>
        </values>
      </ddeItem>
      <ddeItem name="@CTA[8-2-3-4-5,F,#5]" advise="1">
        <values>
          <value t="nil">
            <val>1</val>
          </value>
        </values>
      </ddeItem>
      <ddeItem name="@CTA[8-2-3-4-6,F,#5]" advise="1">
        <values>
          <value t="nil">
            <val>1</val>
          </value>
        </values>
      </ddeItem>
      <ddeItem name="@CTA[8-2-3-4-7,F,#5]" advise="1">
        <values>
          <value t="nil">
            <val>1</val>
          </value>
        </values>
      </ddeItem>
      <ddeItem name="@CTA[8-2-3-4-8,F,#5]" advise="1">
        <values>
          <value t="nil">
            <val>1</val>
          </value>
        </values>
      </ddeItem>
      <ddeItem name="@CTA[8-2-3-4-9,F,#5]" advise="1">
        <values>
          <value t="nil">
            <val>1</val>
          </value>
        </values>
      </ddeItem>
      <ddeItem name="@CTA[8-2-3-5,F,#4]" advise="1">
        <values>
          <value>
            <val>-229414.0000000007</val>
          </value>
        </values>
      </ddeItem>
      <ddeItem name="@CTA[8-2-3-5-1,F,#5]" advise="1">
        <values>
          <value>
            <val>-238683</val>
          </value>
        </values>
      </ddeItem>
      <ddeItem name="@CTA[8-2-3-5-1-5111,F,1,#6]" advise="1">
        <values>
          <value>
            <val>0</val>
          </value>
        </values>
      </ddeItem>
      <ddeItem name="@CTA[8-2-3-5-1-5111,F,2,#6]" advise="1">
        <values>
          <value>
            <val>0</val>
          </value>
        </values>
      </ddeItem>
      <ddeItem name="@CTA[8-2-3-5-1-5111,F,3,#6]" advise="1">
        <values>
          <value>
            <val>0</val>
          </value>
        </values>
      </ddeItem>
      <ddeItem name="@CTA[8-2-3-5-1-5111,F,4,#6]" advise="1">
        <values>
          <value>
            <val>0</val>
          </value>
        </values>
      </ddeItem>
      <ddeItem name="@CTA[8-2-3-5-1-5111,F,5,#6]" advise="1">
        <values>
          <value>
            <val>0</val>
          </value>
        </values>
      </ddeItem>
      <ddeItem name="@CTA[8-2-3-5-1-5111,F,6,#6]" advise="1">
        <values>
          <value>
            <val>0</val>
          </value>
        </values>
      </ddeItem>
      <ddeItem name="@CTA[8-2-3-5-1-5111,F,7,#6]" advise="1">
        <values>
          <value>
            <val>0</val>
          </value>
        </values>
      </ddeItem>
      <ddeItem name="@CTA[8-2-3-5-1-5111,F,8,#6]" advise="1">
        <values>
          <value>
            <val>61317</val>
          </value>
        </values>
      </ddeItem>
      <ddeItem name="@CTA[8-2-3-5-1-5151,F,1,#6]" advise="1">
        <values>
          <value>
            <val>0</val>
          </value>
        </values>
      </ddeItem>
      <ddeItem name="@CTA[8-2-3-5-1-5151,F,2,#6]" advise="1">
        <values>
          <value t="nil">
            <val>1</val>
          </value>
        </values>
      </ddeItem>
      <ddeItem name="@CTA[8-2-3-5-1-5151,F,3,#6]" advise="1">
        <values>
          <value>
            <val>0</val>
          </value>
        </values>
      </ddeItem>
      <ddeItem name="@CTA[8-2-3-5-1-5151,F,4,#6]" advise="1">
        <values>
          <value>
            <val>0</val>
          </value>
        </values>
      </ddeItem>
      <ddeItem name="@CTA[8-2-3-5-1-5151,F,5,#6]" advise="1">
        <values>
          <value>
            <val>0</val>
          </value>
        </values>
      </ddeItem>
      <ddeItem name="@CTA[8-2-3-5-1-5151,F,6,#6]" advise="1">
        <values>
          <value>
            <val>0</val>
          </value>
        </values>
      </ddeItem>
      <ddeItem name="@CTA[8-2-3-5-1-5151,F,7,#6]" advise="1">
        <values>
          <value t="nil">
            <val>1</val>
          </value>
        </values>
      </ddeItem>
      <ddeItem name="@CTA[8-2-3-5-1-5151,F,8,#6]" advise="1">
        <values>
          <value>
            <val>0</val>
          </value>
        </values>
      </ddeItem>
      <ddeItem name="@CTA[8-2-3-5-1-5151,F,9,#6]" advise="1">
        <values>
          <value>
            <val>-7.2759576141834259E-12</val>
          </value>
        </values>
      </ddeItem>
      <ddeItem name="@CTA[8-2-3-5-1-5152,F,1,#6]" advise="1">
        <values>
          <value>
            <val>0</val>
          </value>
        </values>
      </ddeItem>
      <ddeItem name="@CTA[8-2-3-5-1-5152,F,2,#6]" advise="1">
        <values>
          <value>
            <val>0</val>
          </value>
        </values>
      </ddeItem>
      <ddeItem name="@CTA[8-2-3-5-1-5152,F,3,#6]" advise="1">
        <values>
          <value t="nil">
            <val>1</val>
          </value>
        </values>
      </ddeItem>
      <ddeItem name="@CTA[8-2-3-5-1-5152,F,4,#6]" advise="1">
        <values>
          <value>
            <val>0</val>
          </value>
        </values>
      </ddeItem>
      <ddeItem name="@CTA[8-2-3-5-1-5152,F,5,#6]" advise="1">
        <values>
          <value>
            <val>0</val>
          </value>
        </values>
      </ddeItem>
      <ddeItem name="@CTA[8-2-3-5-1-5152,F,6,#6]" advise="1">
        <values>
          <value>
            <val>0</val>
          </value>
        </values>
      </ddeItem>
      <ddeItem name="@CTA[8-2-3-5-1-5152,F,7,#6]" advise="1">
        <values>
          <value t="nil">
            <val>1</val>
          </value>
        </values>
      </ddeItem>
      <ddeItem name="@CTA[8-2-3-5-1-5152,F,8,#6]" advise="1">
        <values>
          <value t="nil">
            <val>1</val>
          </value>
        </values>
      </ddeItem>
      <ddeItem name="@CTA[8-2-3-5-1-5152,F,9,#6]" advise="1">
        <values>
          <value t="nil">
            <val>1</val>
          </value>
        </values>
      </ddeItem>
      <ddeItem name="@CTA[8-2-3-5-1-5153,F,1,#6]" advise="1">
        <values>
          <value t="nil">
            <val>1</val>
          </value>
        </values>
      </ddeItem>
      <ddeItem name="@CTA[8-2-3-5-1-5153,F,2,#6]" advise="1">
        <values>
          <value t="nil">
            <val>1</val>
          </value>
        </values>
      </ddeItem>
      <ddeItem name="@CTA[8-2-3-5-1-5153,F,3,#6]" advise="1">
        <values>
          <value t="nil">
            <val>1</val>
          </value>
        </values>
      </ddeItem>
      <ddeItem name="@CTA[8-2-3-5-1-5153,F,4,#6]" advise="1">
        <values>
          <value>
            <val>0</val>
          </value>
        </values>
      </ddeItem>
      <ddeItem name="@CTA[8-2-3-5-1-5153,F,5,#6]" advise="1">
        <values>
          <value t="nil">
            <val>1</val>
          </value>
        </values>
      </ddeItem>
      <ddeItem name="@CTA[8-2-3-5-1-5153,F,6,#6]" advise="1">
        <values>
          <value>
            <val>0</val>
          </value>
        </values>
      </ddeItem>
      <ddeItem name="@CTA[8-2-3-5-1-5153,F,7,#6]" advise="1">
        <values>
          <value>
            <val>0</val>
          </value>
        </values>
      </ddeItem>
      <ddeItem name="@CTA[8-2-3-5-1-5153,F,8,#6]" advise="1">
        <values>
          <value t="nil">
            <val>1</val>
          </value>
        </values>
      </ddeItem>
      <ddeItem name="@CTA[8-2-3-5-1-5153,F,9,#6]" advise="1">
        <values>
          <value t="nil">
            <val>1</val>
          </value>
        </values>
      </ddeItem>
      <ddeItem name="@CTA[8-2-3-5-2,F,#5]" advise="1">
        <values>
          <value>
            <val>-1.8189894035458565E-12</val>
          </value>
        </values>
      </ddeItem>
      <ddeItem name="@CTA[8-2-3-5-2-5231,F,1,#6]" advise="1">
        <values>
          <value>
            <val>0</val>
          </value>
        </values>
      </ddeItem>
      <ddeItem name="@CTA[8-2-3-5-2-5231,F,2,#6]" advise="1">
        <values>
          <value>
            <val>0</val>
          </value>
        </values>
      </ddeItem>
      <ddeItem name="@CTA[8-2-3-5-2-5231,F,3,#6]" advise="1">
        <values>
          <value>
            <val>0</val>
          </value>
        </values>
      </ddeItem>
      <ddeItem name="@CTA[8-2-3-5-2-5231,F,4,#6]" advise="1">
        <values>
          <value>
            <val>0</val>
          </value>
        </values>
      </ddeItem>
      <ddeItem name="@CTA[8-2-3-5-2-5231,F,5,#6]" advise="1">
        <values>
          <value>
            <val>0</val>
          </value>
        </values>
      </ddeItem>
      <ddeItem name="@CTA[8-2-3-5-2-5231,F,6,#6]" advise="1">
        <values>
          <value t="nil">
            <val>1</val>
          </value>
        </values>
      </ddeItem>
      <ddeItem name="@CTA[8-2-3-5-2-5231,F,7,#6]" advise="1">
        <values>
          <value>
            <val>0</val>
          </value>
        </values>
      </ddeItem>
      <ddeItem name="@CTA[8-2-3-5-2-5231,F,8,#6]" advise="1">
        <values>
          <value>
            <val>0</val>
          </value>
        </values>
      </ddeItem>
      <ddeItem name="@CTA[8-2-3-5-2-5231,F,9,#6]" advise="1">
        <values>
          <value>
            <val>0</val>
          </value>
        </values>
      </ddeItem>
      <ddeItem name="@CTA[8-2-3-5-3,F,#5]" advise="1">
        <values>
          <value>
            <val>0</val>
          </value>
        </values>
      </ddeItem>
      <ddeItem name="@CTA[8-2-3-5-3-5311,F,7,#6]" advise="1">
        <values>
          <value>
            <val>0</val>
          </value>
        </values>
      </ddeItem>
      <ddeItem name="@CTA[8-2-3-5-4,F,#5]" advise="1">
        <values>
          <value>
            <val>0</val>
          </value>
        </values>
      </ddeItem>
      <ddeItem name="@CTA[8-2-3-5-4-5411,F,1,#6]" advise="1">
        <values>
          <value>
            <val>0</val>
          </value>
        </values>
      </ddeItem>
      <ddeItem name="@CTA[8-2-3-5-4-5411,F,2,#6]" advise="1">
        <values>
          <value t="nil">
            <val>1</val>
          </value>
        </values>
      </ddeItem>
      <ddeItem name="@CTA[8-2-3-5-4-5411,F,3,#6]" advise="1">
        <values>
          <value t="nil">
            <val>1</val>
          </value>
        </values>
      </ddeItem>
      <ddeItem name="@CTA[8-2-3-5-4-5411,F,4,#6]" advise="1">
        <values>
          <value t="nil">
            <val>1</val>
          </value>
        </values>
      </ddeItem>
      <ddeItem name="@CTA[8-2-3-5-4-5411,F,5,#6]" advise="1">
        <values>
          <value t="nil">
            <val>1</val>
          </value>
        </values>
      </ddeItem>
      <ddeItem name="@CTA[8-2-3-5-4-5411,F,6,#6]" advise="1">
        <values>
          <value t="nil">
            <val>1</val>
          </value>
        </values>
      </ddeItem>
      <ddeItem name="@CTA[8-2-3-5-4-5411,F,7,#6]" advise="1">
        <values>
          <value t="nil">
            <val>1</val>
          </value>
        </values>
      </ddeItem>
      <ddeItem name="@CTA[8-2-3-5-4-5411,F,8,#6]" advise="1">
        <values>
          <value t="nil">
            <val>1</val>
          </value>
        </values>
      </ddeItem>
      <ddeItem name="@CTA[8-2-3-5-4-5411,F,9,#6]" advise="1">
        <values>
          <value t="nil">
            <val>1</val>
          </value>
        </values>
      </ddeItem>
      <ddeItem name="@CTA[8-2-3-5-4-5491,F,1,#6]" advise="1">
        <values>
          <value>
            <val>0</val>
          </value>
        </values>
      </ddeItem>
      <ddeItem name="@CTA[8-2-3-5-4-5491,F,2,#6]" advise="1">
        <values>
          <value t="nil">
            <val>1</val>
          </value>
        </values>
      </ddeItem>
      <ddeItem name="@CTA[8-2-3-5-4-5491,F,3,#6]" advise="1">
        <values>
          <value t="nil">
            <val>1</val>
          </value>
        </values>
      </ddeItem>
      <ddeItem name="@CTA[8-2-3-5-4-5491,F,4,#6]" advise="1">
        <values>
          <value t="nil">
            <val>1</val>
          </value>
        </values>
      </ddeItem>
      <ddeItem name="@CTA[8-2-3-5-4-5491,F,5,#6]" advise="1">
        <values>
          <value>
            <val>0</val>
          </value>
        </values>
      </ddeItem>
      <ddeItem name="@CTA[8-2-3-5-4-5491,F,6,#6]" advise="1">
        <values>
          <value t="nil">
            <val>1</val>
          </value>
        </values>
      </ddeItem>
      <ddeItem name="@CTA[8-2-3-5-4-5491,F,7,#6]" advise="1">
        <values>
          <value t="nil">
            <val>1</val>
          </value>
        </values>
      </ddeItem>
      <ddeItem name="@CTA[8-2-3-5-4-5491,F,8,#6]" advise="1">
        <values>
          <value t="nil">
            <val>1</val>
          </value>
        </values>
      </ddeItem>
      <ddeItem name="@CTA[8-2-3-5-4-5491,F,9,#6]" advise="1">
        <values>
          <value t="nil">
            <val>1</val>
          </value>
        </values>
      </ddeItem>
      <ddeItem name="@CTA[8-2-3-5-5,F,#5]" advise="1">
        <values>
          <value>
            <val>0</val>
          </value>
        </values>
      </ddeItem>
      <ddeItem name="@CTA[8-2-3-5-6,F,#5]" advise="1">
        <values>
          <value>
            <val>9268.9999999999418</val>
          </value>
        </values>
      </ddeItem>
      <ddeItem name="@CTA[8-2-3-5-6-5631,F,1,#6]" advise="1">
        <values>
          <value>
            <val>0</val>
          </value>
        </values>
      </ddeItem>
      <ddeItem name="@CTA[8-2-3-5-6-5631,F,2,#6]" advise="1">
        <values>
          <value t="nil">
            <val>1</val>
          </value>
        </values>
      </ddeItem>
      <ddeItem name="@CTA[8-2-3-5-6-5631,F,3,#6]" advise="1">
        <values>
          <value t="nil">
            <val>1</val>
          </value>
        </values>
      </ddeItem>
      <ddeItem name="@CTA[8-2-3-5-6-5631,F,4,#6]" advise="1">
        <values>
          <value t="nil">
            <val>1</val>
          </value>
        </values>
      </ddeItem>
      <ddeItem name="@CTA[8-2-3-5-6-5631,F,5,#6]" advise="1">
        <values>
          <value t="nil">
            <val>1</val>
          </value>
        </values>
      </ddeItem>
      <ddeItem name="@CTA[8-2-3-5-6-5631,F,6,#6]" advise="1">
        <values>
          <value t="nil">
            <val>1</val>
          </value>
        </values>
      </ddeItem>
      <ddeItem name="@CTA[8-2-3-5-6-5631,F,7,#6]" advise="1">
        <values>
          <value t="nil">
            <val>1</val>
          </value>
        </values>
      </ddeItem>
      <ddeItem name="@CTA[8-2-3-5-6-5631,F,8,#6]" advise="1">
        <values>
          <value t="nil">
            <val>1</val>
          </value>
        </values>
      </ddeItem>
      <ddeItem name="@CTA[8-2-3-5-6-5631,F,9,#6]" advise="1">
        <values>
          <value t="nil">
            <val>1</val>
          </value>
        </values>
      </ddeItem>
      <ddeItem name="@CTA[8-2-3-5-6-5632,F,1,#6]" advise="1">
        <values>
          <value>
            <val>0</val>
          </value>
        </values>
      </ddeItem>
      <ddeItem name="@CTA[8-2-3-5-6-5632,F,9,#6]" advise="1">
        <values>
          <value>
            <val>0</val>
          </value>
        </values>
      </ddeItem>
      <ddeItem name="@CTA[8-2-3-5-6-5651,F,1,#6]" advise="1">
        <values>
          <value>
            <val>0</val>
          </value>
        </values>
      </ddeItem>
      <ddeItem name="@CTA[8-2-3-5-6-5651,F,2,#6]" advise="1">
        <values>
          <value t="nil">
            <val>1</val>
          </value>
        </values>
      </ddeItem>
      <ddeItem name="@CTA[8-2-3-5-6-5651,F,3,#6]" advise="1">
        <values>
          <value t="nil">
            <val>1</val>
          </value>
        </values>
      </ddeItem>
      <ddeItem name="@CTA[8-2-3-5-6-5651,F,4,#6]" advise="1">
        <values>
          <value>
            <val>0</val>
          </value>
        </values>
      </ddeItem>
      <ddeItem name="@CTA[8-2-3-5-6-5651,F,5,#6]" advise="1">
        <values>
          <value>
            <val>0</val>
          </value>
        </values>
      </ddeItem>
      <ddeItem name="@CTA[8-2-3-5-6-5651,F,6,#6]" advise="1">
        <values>
          <value t="nil">
            <val>1</val>
          </value>
        </values>
      </ddeItem>
      <ddeItem name="@CTA[8-2-3-5-6-5651,F,7,#6]" advise="1">
        <values>
          <value>
            <val>0</val>
          </value>
        </values>
      </ddeItem>
      <ddeItem name="@CTA[8-2-3-5-6-5651,F,8,#6]" advise="1">
        <values>
          <value t="nil">
            <val>1</val>
          </value>
        </values>
      </ddeItem>
      <ddeItem name="@CTA[8-2-3-5-6-5651,F,9,#6]" advise="1">
        <values>
          <value t="nil">
            <val>1</val>
          </value>
        </values>
      </ddeItem>
      <ddeItem name="@CTA[8-2-3-5-6-5653,F,8,#6]" advise="1">
        <values>
          <value>
            <val>0</val>
          </value>
        </values>
      </ddeItem>
      <ddeItem name="@CTA[8-2-3-5-6-5671,F,1,#6]" advise="1">
        <values>
          <value>
            <val>0</val>
          </value>
        </values>
      </ddeItem>
      <ddeItem name="@CTA[8-2-3-5-6-5671,F,2,#6]" advise="1">
        <values>
          <value t="nil">
            <val>1</val>
          </value>
        </values>
      </ddeItem>
      <ddeItem name="@CTA[8-2-3-5-6-5671,F,3,#6]" advise="1">
        <values>
          <value>
            <val>0</val>
          </value>
        </values>
      </ddeItem>
      <ddeItem name="@CTA[8-2-3-5-6-5671,F,4,#6]" advise="1">
        <values>
          <value t="nil">
            <val>1</val>
          </value>
        </values>
      </ddeItem>
      <ddeItem name="@CTA[8-2-3-5-6-5671,F,5,#6]" advise="1">
        <values>
          <value t="nil">
            <val>1</val>
          </value>
        </values>
      </ddeItem>
      <ddeItem name="@CTA[8-2-3-5-6-5671,F,6,#6]" advise="1">
        <values>
          <value t="nil">
            <val>1</val>
          </value>
        </values>
      </ddeItem>
      <ddeItem name="@CTA[8-2-3-5-6-5671,F,7,#6]" advise="1">
        <values>
          <value>
            <val>0</val>
          </value>
        </values>
      </ddeItem>
      <ddeItem name="@CTA[8-2-3-5-6-5671,F,8,#6]" advise="1">
        <values>
          <value t="nil">
            <val>1</val>
          </value>
        </values>
      </ddeItem>
      <ddeItem name="@CTA[8-2-3-5-6-5671,F,9,#6]" advise="1">
        <values>
          <value t="nil">
            <val>1</val>
          </value>
        </values>
      </ddeItem>
      <ddeItem name="@CTA[8-2-3-5-6-5693,F,1,#6]" advise="1">
        <values>
          <value>
            <val>0</val>
          </value>
        </values>
      </ddeItem>
      <ddeItem name="@CTA[8-2-3-5-6-5694,F,3,#6]" advise="1">
        <values>
          <value>
            <val>0</val>
          </value>
        </values>
      </ddeItem>
      <ddeItem name="@CTA[8-2-3-5-7,F,#5]" advise="1">
        <values>
          <value t="nil">
            <val>1</val>
          </value>
        </values>
      </ddeItem>
      <ddeItem name="@CTA[8-2-3-5-8,F,#5]" advise="1">
        <values>
          <value>
            <val>0</val>
          </value>
        </values>
      </ddeItem>
      <ddeItem name="@CTA[8-2-3-5-9,F,#5]" advise="1">
        <values>
          <value>
            <val>-4.6566128730773926E-10</val>
          </value>
        </values>
      </ddeItem>
      <ddeItem name="@CTA[8-2-3-5-9-5911,F,1,#6]" advise="1">
        <values>
          <value t="nil">
            <val>1</val>
          </value>
        </values>
      </ddeItem>
      <ddeItem name="@CTA[8-2-3-5-9-5911,F,2,#6]" advise="1">
        <values>
          <value t="nil">
            <val>1</val>
          </value>
        </values>
      </ddeItem>
      <ddeItem name="@CTA[8-2-3-5-9-5911,F,3,#6]" advise="1">
        <values>
          <value t="nil">
            <val>1</val>
          </value>
        </values>
      </ddeItem>
      <ddeItem name="@CTA[8-2-3-5-9-5911,F,4,#6]" advise="1">
        <values>
          <value>
            <val>0</val>
          </value>
        </values>
      </ddeItem>
      <ddeItem name="@CTA[8-2-3-5-9-5911,F,5,#6]" advise="1">
        <values>
          <value>
            <val>0</val>
          </value>
        </values>
      </ddeItem>
      <ddeItem name="@CTA[8-2-3-5-9-5911,F,6,#6]" advise="1">
        <values>
          <value>
            <val>0</val>
          </value>
        </values>
      </ddeItem>
      <ddeItem name="@CTA[8-2-3-5-9-5911,F,7,#6]" advise="1">
        <values>
          <value t="nil">
            <val>1</val>
          </value>
        </values>
      </ddeItem>
      <ddeItem name="@CTA[8-2-3-5-9-5911,F,8,#6]" advise="1">
        <values>
          <value t="nil">
            <val>1</val>
          </value>
        </values>
      </ddeItem>
      <ddeItem name="@CTA[8-2-3-5-9-5911,F,9,#6]" advise="1">
        <values>
          <value>
            <val>0</val>
          </value>
        </values>
      </ddeItem>
      <ddeItem name="@CTA[8-2-3-5-9-5951,F,2,#6]" advise="1">
        <values>
          <value>
            <val>0</val>
          </value>
        </values>
      </ddeItem>
      <ddeItem name="@CTA[8-2-3-6,F,#4]" advise="1">
        <values>
          <value>
            <val>7403590.0100000016</val>
          </value>
        </values>
      </ddeItem>
      <ddeItem name="@CTA[8-2-3-6-1,F,#5]" advise="1">
        <values>
          <value>
            <val>7403590.0100000016</val>
          </value>
        </values>
      </ddeItem>
      <ddeItem name="@CTA[8-2-3-6-1-6131,F,1,#6]" advise="1">
        <values>
          <value>
            <val>0</val>
          </value>
        </values>
      </ddeItem>
      <ddeItem name="@CTA[8-2-3-6-1-6131,F,2,#6]" advise="1">
        <values>
          <value>
            <val>0</val>
          </value>
        </values>
      </ddeItem>
      <ddeItem name="@CTA[8-2-3-6-1-6131,F,3,#6]" advise="1">
        <values>
          <value t="nil">
            <val>1</val>
          </value>
        </values>
      </ddeItem>
      <ddeItem name="@CTA[8-2-3-6-1-6131,F,4,#6]" advise="1">
        <values>
          <value t="nil">
            <val>1</val>
          </value>
        </values>
      </ddeItem>
      <ddeItem name="@CTA[8-2-3-6-1-6131,F,5,#6]" advise="1">
        <values>
          <value t="nil">
            <val>1</val>
          </value>
        </values>
      </ddeItem>
      <ddeItem name="@CTA[8-2-3-6-1-6131,F,6,#6]" advise="1">
        <values>
          <value t="nil">
            <val>1</val>
          </value>
        </values>
      </ddeItem>
      <ddeItem name="@CTA[8-2-3-6-1-6131,F,7,#6]" advise="1">
        <values>
          <value>
            <val>0</val>
          </value>
        </values>
      </ddeItem>
      <ddeItem name="@CTA[8-2-3-6-1-6131,F,8,#6]" advise="1">
        <values>
          <value t="nil">
            <val>1</val>
          </value>
        </values>
      </ddeItem>
      <ddeItem name="@CTA[8-2-3-6-1-6131,F,9,#6]" advise="1">
        <values>
          <value>
            <val>5446893.6900000013</val>
          </value>
        </values>
      </ddeItem>
      <ddeItem name="@CTA[8-2-3-6-1-6161,F,1,#6]" advise="1">
        <values>
          <value>
            <val>0</val>
          </value>
        </values>
      </ddeItem>
      <ddeItem name="@CTA[8-2-3-6-1-6161,F,2,#6]" advise="1">
        <values>
          <value t="nil">
            <val>1</val>
          </value>
        </values>
      </ddeItem>
      <ddeItem name="@CTA[8-2-3-6-1-6161,F,3,#6]" advise="1">
        <values>
          <value t="nil">
            <val>1</val>
          </value>
        </values>
      </ddeItem>
      <ddeItem name="@CTA[8-2-3-6-1-6161,F,4,#6]" advise="1">
        <values>
          <value t="nil">
            <val>1</val>
          </value>
        </values>
      </ddeItem>
      <ddeItem name="@CTA[8-2-3-6-1-6161,F,5,#6]" advise="1">
        <values>
          <value t="nil">
            <val>1</val>
          </value>
        </values>
      </ddeItem>
      <ddeItem name="@CTA[8-2-3-6-1-6161,F,6,#6]" advise="1">
        <values>
          <value t="nil">
            <val>1</val>
          </value>
        </values>
      </ddeItem>
      <ddeItem name="@CTA[8-2-3-6-1-6161,F,7,#6]" advise="1">
        <values>
          <value>
            <val>0</val>
          </value>
        </values>
      </ddeItem>
      <ddeItem name="@CTA[8-2-3-6-1-6161,F,8,#6]" advise="1">
        <values>
          <value t="nil">
            <val>1</val>
          </value>
        </values>
      </ddeItem>
      <ddeItem name="@CTA[8-2-3-6-1-6161,F,9,#6]" advise="1">
        <values>
          <value>
            <val>1977410</val>
          </value>
        </values>
      </ddeItem>
      <ddeItem name="@CTA[8-2-3-6-1-6162,F,1,#6]" advise="1">
        <values>
          <value>
            <val>0</val>
          </value>
        </values>
      </ddeItem>
      <ddeItem name="@CTA[8-2-3-6-1-6162,F,2,#6]" advise="1">
        <values>
          <value t="nil">
            <val>1</val>
          </value>
        </values>
      </ddeItem>
      <ddeItem name="@CTA[8-2-3-6-1-6162,F,3,#6]" advise="1">
        <values>
          <value t="nil">
            <val>1</val>
          </value>
        </values>
      </ddeItem>
      <ddeItem name="@CTA[8-2-3-6-1-6162,F,4,#6]" advise="1">
        <values>
          <value t="nil">
            <val>1</val>
          </value>
        </values>
      </ddeItem>
      <ddeItem name="@CTA[8-2-3-6-1-6162,F,5,#6]" advise="1">
        <values>
          <value t="nil">
            <val>1</val>
          </value>
        </values>
      </ddeItem>
      <ddeItem name="@CTA[8-2-3-6-1-6162,F,6,#6]" advise="1">
        <values>
          <value t="nil">
            <val>1</val>
          </value>
        </values>
      </ddeItem>
      <ddeItem name="@CTA[8-2-3-6-1-6162,F,7,#6]" advise="1">
        <values>
          <value t="nil">
            <val>1</val>
          </value>
        </values>
      </ddeItem>
      <ddeItem name="@CTA[8-2-3-6-1-6162,F,8,#6]" advise="1">
        <values>
          <value t="nil">
            <val>1</val>
          </value>
        </values>
      </ddeItem>
      <ddeItem name="@CTA[8-2-3-6-1-6162,F,9,#6]" advise="1">
        <values>
          <value>
            <val>1709286.3200000003</val>
          </value>
        </values>
      </ddeItem>
      <ddeItem name="@CTA[8-2-3-6-1-6171,F,1,#6]" advise="1">
        <values>
          <value>
            <val>0</val>
          </value>
        </values>
      </ddeItem>
      <ddeItem name="@CTA[8-2-3-6-1-6171,F,2,#6]" advise="1">
        <values>
          <value>
            <val>0</val>
          </value>
        </values>
      </ddeItem>
      <ddeItem name="@CTA[8-2-3-6-1-6171,F,3,#6]" advise="1">
        <values>
          <value t="nil">
            <val>1</val>
          </value>
        </values>
      </ddeItem>
      <ddeItem name="@CTA[8-2-3-6-1-6171,F,4,#6]" advise="1">
        <values>
          <value t="nil">
            <val>1</val>
          </value>
        </values>
      </ddeItem>
      <ddeItem name="@CTA[8-2-3-6-1-6171,F,5,#6]" advise="1">
        <values>
          <value t="nil">
            <val>1</val>
          </value>
        </values>
      </ddeItem>
      <ddeItem name="@CTA[8-2-3-6-1-6171,F,6,#6]" advise="1">
        <values>
          <value t="nil">
            <val>1</val>
          </value>
        </values>
      </ddeItem>
      <ddeItem name="@CTA[8-2-3-6-1-6171,F,7,#6]" advise="1">
        <values>
          <value t="nil">
            <val>1</val>
          </value>
        </values>
      </ddeItem>
      <ddeItem name="@CTA[8-2-3-6-1-6171,F,8,#6]" advise="1">
        <values>
          <value t="nil">
            <val>1</val>
          </value>
        </values>
      </ddeItem>
      <ddeItem name="@CTA[8-2-3-6-1-6171,F,9,#6]" advise="1">
        <values>
          <value>
            <val>-1730000</val>
          </value>
        </values>
      </ddeItem>
      <ddeItem name="@CTA[8-2-3-6-2,F,#5]" advise="1">
        <values>
          <value t="nil">
            <val>1</val>
          </value>
        </values>
      </ddeItem>
      <ddeItem name="@CTA[8-2-3-6-2-6221,F,1,#6]" advise="1">
        <values>
          <value>
            <val>0</val>
          </value>
        </values>
      </ddeItem>
      <ddeItem name="@CTA[8-2-3-6-3,F,#5]" advise="1">
        <values>
          <value t="nil">
            <val>1</val>
          </value>
        </values>
      </ddeItem>
      <ddeItem name="@CTA[8-2-3-7,F,#4]" advise="1">
        <values>
          <value t="nil">
            <val>1</val>
          </value>
        </values>
      </ddeItem>
      <ddeItem name="@CTA[8-2-3-7-1,F,#5]" advise="1">
        <values>
          <value t="nil">
            <val>1</val>
          </value>
        </values>
      </ddeItem>
      <ddeItem name="@CTA[8-2-3-7-2,F,#5]" advise="1">
        <values>
          <value t="nil">
            <val>1</val>
          </value>
        </values>
      </ddeItem>
      <ddeItem name="@CTA[8-2-3-7-3,F,#5]" advise="1">
        <values>
          <value t="nil">
            <val>1</val>
          </value>
        </values>
      </ddeItem>
      <ddeItem name="@CTA[8-2-3-7-4,F,#5]" advise="1">
        <values>
          <value t="nil">
            <val>1</val>
          </value>
        </values>
      </ddeItem>
      <ddeItem name="@CTA[8-2-3-7-5,F,#5]" advise="1">
        <values>
          <value t="nil">
            <val>1</val>
          </value>
        </values>
      </ddeItem>
      <ddeItem name="@CTA[8-2-3-7-6,F,#5]" advise="1">
        <values>
          <value t="nil">
            <val>1</val>
          </value>
        </values>
      </ddeItem>
      <ddeItem name="@CTA[8-2-3-7-9,F,#5]" advise="1">
        <values>
          <value t="nil">
            <val>1</val>
          </value>
        </values>
      </ddeItem>
      <ddeItem name="@CTA[8-2-3-8,F,#4]" advise="1">
        <values>
          <value t="nil">
            <val>1</val>
          </value>
        </values>
      </ddeItem>
      <ddeItem name="@CTA[8-2-3-8-1,F,#5]" advise="1">
        <values>
          <value t="nil">
            <val>1</val>
          </value>
        </values>
      </ddeItem>
      <ddeItem name="@CTA[8-2-3-8-3,F,#5]" advise="1">
        <values>
          <value t="nil">
            <val>1</val>
          </value>
        </values>
      </ddeItem>
      <ddeItem name="@CTA[8-2-3-8-5,F,#5]" advise="1">
        <values>
          <value t="nil">
            <val>1</val>
          </value>
        </values>
      </ddeItem>
      <ddeItem name="@CTA[8-2-3-9,F,#4]" advise="1">
        <values>
          <value t="nil">
            <val>1</val>
          </value>
        </values>
      </ddeItem>
      <ddeItem name="@CTA[8-2-3-9-1,F,#5]" advise="1">
        <values>
          <value t="nil">
            <val>1</val>
          </value>
        </values>
      </ddeItem>
      <ddeItem name="@CTA[8-2-3-9-2,F,#5]" advise="1">
        <values>
          <value t="nil">
            <val>1</val>
          </value>
        </values>
      </ddeItem>
      <ddeItem name="@CTA[8-2-3-9-3,F,#5]" advise="1">
        <values>
          <value t="nil">
            <val>1</val>
          </value>
        </values>
      </ddeItem>
      <ddeItem name="@CTA[8-2-3-9-4,F,#5]" advise="1">
        <values>
          <value t="nil">
            <val>1</val>
          </value>
        </values>
      </ddeItem>
      <ddeItem name="@CTA[8-2-3-9-5,F,#5]" advise="1">
        <values>
          <value t="nil">
            <val>1</val>
          </value>
        </values>
      </ddeItem>
      <ddeItem name="@CTA[8-2-3-9-6,F,#5]" advise="1">
        <values>
          <value t="nil">
            <val>1</val>
          </value>
        </values>
      </ddeItem>
      <ddeItem name="@CTA[8-2-3-9-9,F,#5]" advise="1">
        <values>
          <value t="nil">
            <val>1</val>
          </value>
        </values>
      </ddeItem>
      <ddeItem name="@CTA[8-2-4-1-1-1131,J,1,#6]" advise="1">
        <values>
          <value>
            <val>813409.02</val>
          </value>
        </values>
      </ddeItem>
      <ddeItem name="@CTA[8-2-4-1-1-1131,J,2,#6]" advise="1">
        <values>
          <value>
            <val>144868.63</val>
          </value>
        </values>
      </ddeItem>
      <ddeItem name="@CTA[8-2-4-1-1-1131,J,3,#6]" advise="1">
        <values>
          <value>
            <val>260568.74</val>
          </value>
        </values>
      </ddeItem>
      <ddeItem name="@CTA[8-2-4-1-1-1131,J,4,#6]" advise="1">
        <values>
          <value>
            <val>190840.44</val>
          </value>
        </values>
      </ddeItem>
      <ddeItem name="@CTA[8-2-4-1-1-1131,J,5,#6]" advise="1">
        <values>
          <value>
            <val>260899.32</val>
          </value>
        </values>
      </ddeItem>
      <ddeItem name="@CTA[8-2-4-1-1-1131,J,6,#6]" advise="1">
        <values>
          <value>
            <val>75432.760000000009</val>
          </value>
        </values>
      </ddeItem>
      <ddeItem name="@CTA[8-2-4-1-1-1131,J,7,#6]" advise="1">
        <values>
          <value>
            <val>240597.76999999996</val>
          </value>
        </values>
      </ddeItem>
      <ddeItem name="@CTA[8-2-4-1-1-1131,J,8,#6]" advise="1">
        <values>
          <value>
            <val>68994.81</val>
          </value>
        </values>
      </ddeItem>
      <ddeItem name="@CTA[8-2-4-1-1-1131,J,9,#6]" advise="1">
        <values>
          <value>
            <val>154351.23000000001</val>
          </value>
        </values>
      </ddeItem>
      <ddeItem name="@CTA[8-2-4-1-2-1211,J,1,#6]" advise="1">
        <values>
          <value t="nil">
            <val>1</val>
          </value>
        </values>
      </ddeItem>
      <ddeItem name="@CTA[8-2-4-1-2-1211,J,2,#6]" advise="1">
        <values>
          <value>
            <val>131985.1</val>
          </value>
        </values>
      </ddeItem>
      <ddeItem name="@CTA[8-2-4-1-2-1211,J,3,#6]" advise="1">
        <values>
          <value>
            <val>0</val>
          </value>
        </values>
      </ddeItem>
      <ddeItem name="@CTA[8-2-4-1-2-1211,J,4,#6]" advise="1">
        <values>
          <value t="nil">
            <val>1</val>
          </value>
        </values>
      </ddeItem>
      <ddeItem name="@CTA[8-2-4-1-2-1211,J,5,#6]" advise="1">
        <values>
          <value t="nil">
            <val>1</val>
          </value>
        </values>
      </ddeItem>
      <ddeItem name="@CTA[8-2-4-1-2-1211,J,6,#6]" advise="1">
        <values>
          <value>
            <val>0</val>
          </value>
        </values>
      </ddeItem>
      <ddeItem name="@CTA[8-2-4-1-2-1211,J,7,#6]" advise="1">
        <values>
          <value t="nil">
            <val>1</val>
          </value>
        </values>
      </ddeItem>
      <ddeItem name="@CTA[8-2-4-1-2-1211,J,8,#6]" advise="1">
        <values>
          <value t="nil">
            <val>1</val>
          </value>
        </values>
      </ddeItem>
      <ddeItem name="@CTA[8-2-4-1-2-1211,J,9,#6]" advise="1">
        <values>
          <value t="nil">
            <val>1</val>
          </value>
        </values>
      </ddeItem>
      <ddeItem name="@CTA[8-2-4-1-2-1221,J,1,#6]" advise="1">
        <values>
          <value t="nil">
            <val>1</val>
          </value>
        </values>
      </ddeItem>
      <ddeItem name="@CTA[8-2-4-1-2-1221,J,2,#6]" advise="1">
        <values>
          <value t="nil">
            <val>1</val>
          </value>
        </values>
      </ddeItem>
      <ddeItem name="@CTA[8-2-4-1-2-1221,J,3,#6]" advise="1">
        <values>
          <value t="nil">
            <val>1</val>
          </value>
        </values>
      </ddeItem>
      <ddeItem name="@CTA[8-2-4-1-2-1221,J,4,#6]" advise="1">
        <values>
          <value t="nil">
            <val>1</val>
          </value>
        </values>
      </ddeItem>
      <ddeItem name="@CTA[8-2-4-1-2-1221,J,5,#6]" advise="1">
        <values>
          <value t="nil">
            <val>1</val>
          </value>
        </values>
      </ddeItem>
      <ddeItem name="@CTA[8-2-4-1-2-1221,J,6,#6]" advise="1">
        <values>
          <value t="nil">
            <val>1</val>
          </value>
        </values>
      </ddeItem>
      <ddeItem name="@CTA[8-2-4-1-2-1221,J,7,#6]" advise="1">
        <values>
          <value t="nil">
            <val>1</val>
          </value>
        </values>
      </ddeItem>
      <ddeItem name="@CTA[8-2-4-1-2-1221,J,8,#6]" advise="1">
        <values>
          <value t="nil">
            <val>1</val>
          </value>
        </values>
      </ddeItem>
      <ddeItem name="@CTA[8-2-4-1-2-1221,J,9,#6]" advise="1">
        <values>
          <value t="nil">
            <val>1</val>
          </value>
        </values>
      </ddeItem>
      <ddeItem name="@CTA[8-2-4-1-3-1311,J,1,#6]" advise="1">
        <values>
          <value>
            <val>0</val>
          </value>
        </values>
      </ddeItem>
      <ddeItem name="@CTA[8-2-4-1-3-1311,J,2,#6]" advise="1">
        <values>
          <value>
            <val>0</val>
          </value>
        </values>
      </ddeItem>
      <ddeItem name="@CTA[8-2-4-1-3-1311,J,3,#6]" advise="1">
        <values>
          <value>
            <val>0</val>
          </value>
        </values>
      </ddeItem>
      <ddeItem name="@CTA[8-2-4-1-3-1311,J,4,#6]" advise="1">
        <values>
          <value>
            <val>0</val>
          </value>
        </values>
      </ddeItem>
      <ddeItem name="@CTA[8-2-4-1-3-1311,J,5,#6]" advise="1">
        <values>
          <value>
            <val>294368.14</val>
          </value>
        </values>
      </ddeItem>
      <ddeItem name="@CTA[8-2-4-1-3-1311,J,6,#6]" advise="1">
        <values>
          <value>
            <val>0</val>
          </value>
        </values>
      </ddeItem>
      <ddeItem name="@CTA[8-2-4-1-3-1311,J,7,#6]" advise="1">
        <values>
          <value>
            <val>0</val>
          </value>
        </values>
      </ddeItem>
      <ddeItem name="@CTA[8-2-4-1-3-1311,J,8,#6]" advise="1">
        <values>
          <value>
            <val>0</val>
          </value>
        </values>
      </ddeItem>
      <ddeItem name="@CTA[8-2-4-1-3-1311,J,9,#6]" advise="1">
        <values>
          <value>
            <val>0</val>
          </value>
        </values>
      </ddeItem>
      <ddeItem name="@CTA[8-2-4-1-3-1321,J,1,#6]" advise="1">
        <values>
          <value>
            <val>12954.85</val>
          </value>
        </values>
      </ddeItem>
      <ddeItem name="@CTA[8-2-4-1-3-1321,J,2,#6]" advise="1">
        <values>
          <value>
            <val>0</val>
          </value>
        </values>
      </ddeItem>
      <ddeItem name="@CTA[8-2-4-1-3-1321,J,3,#6]" advise="1">
        <values>
          <value>
            <val>8817</val>
          </value>
        </values>
      </ddeItem>
      <ddeItem name="@CTA[8-2-4-1-3-1321,J,4,#6]" advise="1">
        <values>
          <value t="nil">
            <val>1</val>
          </value>
        </values>
      </ddeItem>
      <ddeItem name="@CTA[8-2-4-1-3-1321,J,5,#6]" advise="1">
        <values>
          <value>
            <val>0</val>
          </value>
        </values>
      </ddeItem>
      <ddeItem name="@CTA[8-2-4-1-3-1321,J,6,#6]" advise="1">
        <values>
          <value>
            <val>0</val>
          </value>
        </values>
      </ddeItem>
      <ddeItem name="@CTA[8-2-4-1-3-1321,J,7,#6]" advise="1">
        <values>
          <value>
            <val>9115.5</val>
          </value>
        </values>
      </ddeItem>
      <ddeItem name="@CTA[8-2-4-1-3-1321,J,8,#6]" advise="1">
        <values>
          <value>
            <val>141.62</val>
          </value>
        </values>
      </ddeItem>
      <ddeItem name="@CTA[8-2-4-1-3-1321,J,9,#6]" advise="1">
        <values>
          <value>
            <val>361.56</val>
          </value>
        </values>
      </ddeItem>
      <ddeItem name="@CTA[8-2-4-1-3-1322,J,1,#6]" advise="1">
        <values>
          <value>
            <val>17795.36</val>
          </value>
        </values>
      </ddeItem>
      <ddeItem name="@CTA[8-2-4-1-3-1322,J,2,#6]" advise="1">
        <values>
          <value>
            <val>0</val>
          </value>
        </values>
      </ddeItem>
      <ddeItem name="@CTA[8-2-4-1-3-1322,J,3,#6]" advise="1">
        <values>
          <value>
            <val>5519.95</val>
          </value>
        </values>
      </ddeItem>
      <ddeItem name="@CTA[8-2-4-1-3-1322,J,4,#6]" advise="1">
        <values>
          <value>
            <val>3847.38</val>
          </value>
        </values>
      </ddeItem>
      <ddeItem name="@CTA[8-2-4-1-3-1322,J,5,#6]" advise="1">
        <values>
          <value>
            <val>9292.15</val>
          </value>
        </values>
      </ddeItem>
      <ddeItem name="@CTA[8-2-4-1-3-1322,J,6,#6]" advise="1">
        <values>
          <value>
            <val>1715.62</val>
          </value>
        </values>
      </ddeItem>
      <ddeItem name="@CTA[8-2-4-1-3-1322,J,7,#6]" advise="1">
        <values>
          <value>
            <val>4983.8500000000004</val>
          </value>
        </values>
      </ddeItem>
      <ddeItem name="@CTA[8-2-4-1-3-1322,J,8,#6]" advise="1">
        <values>
          <value>
            <val>3125.61</val>
          </value>
        </values>
      </ddeItem>
      <ddeItem name="@CTA[8-2-4-1-3-1322,J,9,#6]" advise="1">
        <values>
          <value>
            <val>5919.4400000000005</val>
          </value>
        </values>
      </ddeItem>
      <ddeItem name="@CTA[8-2-4-1-3-1323,J,1,#6]" advise="1">
        <values>
          <value>
            <val>233.26</val>
          </value>
        </values>
      </ddeItem>
      <ddeItem name="@CTA[8-2-4-1-3-1323,J,2,#6]" advise="1">
        <values>
          <value>
            <val>0</val>
          </value>
        </values>
      </ddeItem>
      <ddeItem name="@CTA[8-2-4-1-3-1323,J,3,#6]" advise="1">
        <values>
          <value>
            <val>232.84</val>
          </value>
        </values>
      </ddeItem>
      <ddeItem name="@CTA[8-2-4-1-3-1323,J,4,#6]" advise="1">
        <values>
          <value>
            <val>0</val>
          </value>
        </values>
      </ddeItem>
      <ddeItem name="@CTA[8-2-4-1-3-1323,J,5,#6]" advise="1">
        <values>
          <value>
            <val>2567.46</val>
          </value>
        </values>
      </ddeItem>
      <ddeItem name="@CTA[8-2-4-1-3-1323,J,6,#6]" advise="1">
        <values>
          <value>
            <val>0</val>
          </value>
        </values>
      </ddeItem>
      <ddeItem name="@CTA[8-2-4-1-3-1323,J,7,#6]" advise="1">
        <values>
          <value>
            <val>0</val>
          </value>
        </values>
      </ddeItem>
      <ddeItem name="@CTA[8-2-4-1-3-1323,J,8,#6]" advise="1">
        <values>
          <value>
            <val>0</val>
          </value>
        </values>
      </ddeItem>
      <ddeItem name="@CTA[8-2-4-1-3-1323,J,9,#6]" advise="1">
        <values>
          <value>
            <val>0</val>
          </value>
        </values>
      </ddeItem>
      <ddeItem name="@CTA[8-2-4-1-3-1331,J,1,#6]" advise="1">
        <values>
          <value>
            <val>17449.59</val>
          </value>
        </values>
      </ddeItem>
      <ddeItem name="@CTA[8-2-4-1-3-1331,J,2,#6]" advise="1">
        <values>
          <value>
            <val>0</val>
          </value>
        </values>
      </ddeItem>
      <ddeItem name="@CTA[8-2-4-1-3-1331,J,3,#6]" advise="1">
        <values>
          <value>
            <val>1094.99</val>
          </value>
        </values>
      </ddeItem>
      <ddeItem name="@CTA[8-2-4-1-3-1331,J,4,#6]" advise="1">
        <values>
          <value>
            <val>0</val>
          </value>
        </values>
      </ddeItem>
      <ddeItem name="@CTA[8-2-4-1-3-1331,J,5,#6]" advise="1">
        <values>
          <value>
            <val>0</val>
          </value>
        </values>
      </ddeItem>
      <ddeItem name="@CTA[8-2-4-1-3-1331,J,6,#6]" advise="1">
        <values>
          <value t="nil">
            <val>1</val>
          </value>
        </values>
      </ddeItem>
      <ddeItem name="@CTA[8-2-4-1-3-1331,J,7,#6]" advise="1">
        <values>
          <value>
            <val>316.74</val>
          </value>
        </values>
      </ddeItem>
      <ddeItem name="@CTA[8-2-4-1-3-1331,J,8,#6]" advise="1">
        <values>
          <value t="nil">
            <val>1</val>
          </value>
        </values>
      </ddeItem>
      <ddeItem name="@CTA[8-2-4-1-3-1331,J,9,#6]" advise="1">
        <values>
          <value t="nil">
            <val>1</val>
          </value>
        </values>
      </ddeItem>
      <ddeItem name="@CTA[8-2-4-1-3-1341,J,1,#6]" advise="1">
        <values>
          <value>
            <val>19285.75</val>
          </value>
        </values>
      </ddeItem>
      <ddeItem name="@CTA[8-2-4-1-3-1341,J,2,#6]" advise="1">
        <values>
          <value>
            <val>0</val>
          </value>
        </values>
      </ddeItem>
      <ddeItem name="@CTA[8-2-4-1-3-1341,J,3,#6]" advise="1">
        <values>
          <value>
            <val>0</val>
          </value>
        </values>
      </ddeItem>
      <ddeItem name="@CTA[8-2-4-1-3-1341,J,4,#6]" advise="1">
        <values>
          <value>
            <val>0</val>
          </value>
        </values>
      </ddeItem>
      <ddeItem name="@CTA[8-2-4-1-3-1341,J,5,#6]" advise="1">
        <values>
          <value>
            <val>0</val>
          </value>
        </values>
      </ddeItem>
      <ddeItem name="@CTA[8-2-4-1-3-1341,J,6,#6]" advise="1">
        <values>
          <value>
            <val>0</val>
          </value>
        </values>
      </ddeItem>
      <ddeItem name="@CTA[8-2-4-1-3-1341,J,7,#6]" advise="1">
        <values>
          <value>
            <val>0</val>
          </value>
        </values>
      </ddeItem>
      <ddeItem name="@CTA[8-2-4-1-3-1341,J,8,#6]" advise="1">
        <values>
          <value>
            <val>0</val>
          </value>
        </values>
      </ddeItem>
      <ddeItem name="@CTA[8-2-4-1-3-1341,J,9,#6]" advise="1">
        <values>
          <value>
            <val>0</val>
          </value>
        </values>
      </ddeItem>
      <ddeItem name="@CTA[8-2-4-1-4-1411,J,1,#6]" advise="1">
        <values>
          <value>
            <val>117965.51999999999</val>
          </value>
        </values>
      </ddeItem>
      <ddeItem name="@CTA[8-2-4-1-4-1411,J,2,#6]" advise="1">
        <values>
          <value>
            <val>14452.44</val>
          </value>
        </values>
      </ddeItem>
      <ddeItem name="@CTA[8-2-4-1-4-1411,J,3,#6]" advise="1">
        <values>
          <value>
            <val>38623.93</val>
          </value>
        </values>
      </ddeItem>
      <ddeItem name="@CTA[8-2-4-1-4-1411,J,4,#6]" advise="1">
        <values>
          <value>
            <val>23961.38</val>
          </value>
        </values>
      </ddeItem>
      <ddeItem name="@CTA[8-2-4-1-4-1411,J,5,#6]" advise="1">
        <values>
          <value>
            <val>32981.769999999997</val>
          </value>
        </values>
      </ddeItem>
      <ddeItem name="@CTA[8-2-4-1-4-1411,J,6,#6]" advise="1">
        <values>
          <value>
            <val>8702.130000000001</val>
          </value>
        </values>
      </ddeItem>
      <ddeItem name="@CTA[8-2-4-1-4-1411,J,7,#6]" advise="1">
        <values>
          <value>
            <val>29820.93</val>
          </value>
        </values>
      </ddeItem>
      <ddeItem name="@CTA[8-2-4-1-4-1411,J,8,#6]" advise="1">
        <values>
          <value>
            <val>8223.2199999999993</val>
          </value>
        </values>
      </ddeItem>
      <ddeItem name="@CTA[8-2-4-1-4-1411,J,9,#6]" advise="1">
        <values>
          <value>
            <val>23121.519999999997</val>
          </value>
        </values>
      </ddeItem>
      <ddeItem name="@CTA[8-2-4-1-4-1421,J,1,#6]" advise="1">
        <values>
          <value>
            <val>35486.21</val>
          </value>
        </values>
      </ddeItem>
      <ddeItem name="@CTA[8-2-4-1-4-1421,J,2,#6]" advise="1">
        <values>
          <value>
            <val>6369.79</val>
          </value>
        </values>
      </ddeItem>
      <ddeItem name="@CTA[8-2-4-1-4-1421,J,3,#6]" advise="1">
        <values>
          <value>
            <val>12426.06</val>
          </value>
        </values>
      </ddeItem>
      <ddeItem name="@CTA[8-2-4-1-4-1421,J,4,#6]" advise="1">
        <values>
          <value>
            <val>8511.6299999999992</val>
          </value>
        </values>
      </ddeItem>
      <ddeItem name="@CTA[8-2-4-1-4-1421,J,5,#6]" advise="1">
        <values>
          <value>
            <val>11157.94</val>
          </value>
        </values>
      </ddeItem>
      <ddeItem name="@CTA[8-2-4-1-4-1421,J,6,#6]" advise="1">
        <values>
          <value>
            <val>3418.11</val>
          </value>
        </values>
      </ddeItem>
      <ddeItem name="@CTA[8-2-4-1-4-1421,J,7,#6]" advise="1">
        <values>
          <value>
            <val>10045.67</val>
          </value>
        </values>
      </ddeItem>
      <ddeItem name="@CTA[8-2-4-1-4-1421,J,8,#6]" advise="1">
        <values>
          <value>
            <val>3183.7</val>
          </value>
        </values>
      </ddeItem>
      <ddeItem name="@CTA[8-2-4-1-4-1421,J,9,#6]" advise="1">
        <values>
          <value>
            <val>8441.74</val>
          </value>
        </values>
      </ddeItem>
      <ddeItem name="@CTA[8-2-4-1-4-1431,J,1,#6]" advise="1">
        <values>
          <value>
            <val>36550.74</val>
          </value>
        </values>
      </ddeItem>
      <ddeItem name="@CTA[8-2-4-1-4-1431,J,2,#6]" advise="1">
        <values>
          <value>
            <val>6560.89</val>
          </value>
        </values>
      </ddeItem>
      <ddeItem name="@CTA[8-2-4-1-4-1431,J,3,#6]" advise="1">
        <values>
          <value>
            <val>12422.28</val>
          </value>
        </values>
      </ddeItem>
      <ddeItem name="@CTA[8-2-4-1-4-1431,J,4,#6]" advise="1">
        <values>
          <value>
            <val>8766.99</val>
          </value>
        </values>
      </ddeItem>
      <ddeItem name="@CTA[8-2-4-1-4-1431,J,5,#6]" advise="1">
        <values>
          <value>
            <val>11492.7</val>
          </value>
        </values>
      </ddeItem>
      <ddeItem name="@CTA[8-2-4-1-4-1431,J,6,#6]" advise="1">
        <values>
          <value>
            <val>3520.65</val>
          </value>
        </values>
      </ddeItem>
      <ddeItem name="@CTA[8-2-4-1-4-1431,J,7,#6]" advise="1">
        <values>
          <value>
            <val>10347.02</val>
          </value>
        </values>
      </ddeItem>
      <ddeItem name="@CTA[8-2-4-1-4-1431,J,8,#6]" advise="1">
        <values>
          <value>
            <val>3279.21</val>
          </value>
        </values>
      </ddeItem>
      <ddeItem name="@CTA[8-2-4-1-4-1431,J,9,#6]" advise="1">
        <values>
          <value>
            <val>8695</val>
          </value>
        </values>
      </ddeItem>
      <ddeItem name="@CTA[8-2-4-1-4-1441,J,1,#6]" advise="1">
        <values>
          <value>
            <val>4791.33</val>
          </value>
        </values>
      </ddeItem>
      <ddeItem name="@CTA[8-2-4-1-4-1441,J,2,#6]" advise="1">
        <values>
          <value>
            <val>779.99</val>
          </value>
        </values>
      </ddeItem>
      <ddeItem name="@CTA[8-2-4-1-4-1441,J,3,#6]" advise="1">
        <values>
          <value>
            <val>1671.4</val>
          </value>
        </values>
      </ddeItem>
      <ddeItem name="@CTA[8-2-4-1-4-1441,J,4,#6]" advise="1">
        <values>
          <value>
            <val>779.99</val>
          </value>
        </values>
      </ddeItem>
      <ddeItem name="@CTA[8-2-4-1-4-1441,J,5,#6]" advise="1">
        <values>
          <value>
            <val>1337.1100000000001</val>
          </value>
        </values>
      </ddeItem>
      <ddeItem name="@CTA[8-2-4-1-4-1441,J,6,#6]" advise="1">
        <values>
          <value>
            <val>222.85</val>
          </value>
        </values>
      </ddeItem>
      <ddeItem name="@CTA[8-2-4-1-4-1441,J,7,#6]" advise="1">
        <values>
          <value>
            <val>1337.1100000000001</val>
          </value>
        </values>
      </ddeItem>
      <ddeItem name="@CTA[8-2-4-1-4-1441,J,8,#6]" advise="1">
        <values>
          <value>
            <val>557.14</val>
          </value>
        </values>
      </ddeItem>
      <ddeItem name="@CTA[8-2-4-1-4-1441,J,9,#6]" advise="1">
        <values>
          <value>
            <val>222.85</val>
          </value>
        </values>
      </ddeItem>
      <ddeItem name="@CTA[8-2-4-1-5-1521,J,1,#6]" advise="1">
        <values>
          <value>
            <val>0</val>
          </value>
        </values>
      </ddeItem>
      <ddeItem name="@CTA[8-2-4-1-5-1521,J,2,#6]" advise="1">
        <values>
          <value>
            <val>0</val>
          </value>
        </values>
      </ddeItem>
      <ddeItem name="@CTA[8-2-4-1-5-1521,J,3,#6]" advise="1">
        <values>
          <value>
            <val>0</val>
          </value>
        </values>
      </ddeItem>
      <ddeItem name="@CTA[8-2-4-1-5-1521,J,4,#6]" advise="1">
        <values>
          <value>
            <val>0</val>
          </value>
        </values>
      </ddeItem>
      <ddeItem name="@CTA[8-2-4-1-5-1521,J,5,#6]" advise="1">
        <values>
          <value>
            <val>0</val>
          </value>
        </values>
      </ddeItem>
      <ddeItem name="@CTA[8-2-4-1-5-1521,J,6,#6]" advise="1">
        <values>
          <value t="nil">
            <val>1</val>
          </value>
        </values>
      </ddeItem>
      <ddeItem name="@CTA[8-2-4-1-5-1521,J,7,#6]" advise="1">
        <values>
          <value>
            <val>0</val>
          </value>
        </values>
      </ddeItem>
      <ddeItem name="@CTA[8-2-4-1-5-1521,J,8,#6]" advise="1">
        <values>
          <value>
            <val>0</val>
          </value>
        </values>
      </ddeItem>
      <ddeItem name="@CTA[8-2-4-1-5-1521,J,9,#6]" advise="1">
        <values>
          <value>
            <val>0</val>
          </value>
        </values>
      </ddeItem>
      <ddeItem name="@CTA[8-2-4-1-5-1522,J,1,#6]" advise="1">
        <values>
          <value t="nil">
            <val>1</val>
          </value>
        </values>
      </ddeItem>
      <ddeItem name="@CTA[8-2-4-1-5-1522,J,2,#6]" advise="1">
        <values>
          <value>
            <val>0</val>
          </value>
        </values>
      </ddeItem>
      <ddeItem name="@CTA[8-2-4-1-5-1522,J,3,#6]" advise="1">
        <values>
          <value t="nil">
            <val>1</val>
          </value>
        </values>
      </ddeItem>
      <ddeItem name="@CTA[8-2-4-1-5-1522,J,4,#6]" advise="1">
        <values>
          <value t="nil">
            <val>1</val>
          </value>
        </values>
      </ddeItem>
      <ddeItem name="@CTA[8-2-4-1-5-1522,J,5,#6]" advise="1">
        <values>
          <value t="nil">
            <val>1</val>
          </value>
        </values>
      </ddeItem>
      <ddeItem name="@CTA[8-2-4-1-5-1522,J,6,#6]" advise="1">
        <values>
          <value t="nil">
            <val>1</val>
          </value>
        </values>
      </ddeItem>
      <ddeItem name="@CTA[8-2-4-1-5-1522,J,7,#6]" advise="1">
        <values>
          <value t="nil">
            <val>1</val>
          </value>
        </values>
      </ddeItem>
      <ddeItem name="@CTA[8-2-4-1-5-1522,J,8,#6]" advise="1">
        <values>
          <value t="nil">
            <val>1</val>
          </value>
        </values>
      </ddeItem>
      <ddeItem name="@CTA[8-2-4-1-5-1522,J,9,#6]" advise="1">
        <values>
          <value t="nil">
            <val>1</val>
          </value>
        </values>
      </ddeItem>
      <ddeItem name="@CTA[8-2-4-1-5-1541,J,1,#6]" advise="1">
        <values>
          <value>
            <val>170079.94</val>
          </value>
        </values>
      </ddeItem>
      <ddeItem name="@CTA[8-2-4-1-5-1541,J,2,#6]" advise="1">
        <values>
          <value>
            <val>31926.840000000004</val>
          </value>
        </values>
      </ddeItem>
      <ddeItem name="@CTA[8-2-4-1-5-1541,J,3,#6]" advise="1">
        <values>
          <value>
            <val>56872.12999999999</val>
          </value>
        </values>
      </ddeItem>
      <ddeItem name="@CTA[8-2-4-1-5-1541,J,4,#6]" advise="1">
        <values>
          <value>
            <val>42053.97</val>
          </value>
        </values>
      </ddeItem>
      <ddeItem name="@CTA[8-2-4-1-5-1541,J,5,#6]" advise="1">
        <values>
          <value>
            <val>55954.42</val>
          </value>
        </values>
      </ddeItem>
      <ddeItem name="@CTA[8-2-4-1-5-1541,J,6,#6]" advise="1">
        <values>
          <value>
            <val>16624.23</val>
          </value>
        </values>
      </ddeItem>
      <ddeItem name="@CTA[8-2-4-1-5-1541,J,7,#6]" advise="1">
        <values>
          <value>
            <val>51148.490000000005</val>
          </value>
        </values>
      </ddeItem>
      <ddeItem name="@CTA[8-2-4-1-5-1541,J,8,#6]" advise="1">
        <values>
          <value>
            <val>15101.369999999999</val>
          </value>
        </values>
      </ddeItem>
      <ddeItem name="@CTA[8-2-4-1-5-1541,J,9,#6]" advise="1">
        <values>
          <value>
            <val>34363.199999999997</val>
          </value>
        </values>
      </ddeItem>
      <ddeItem name="@CTA[8-2-4-1-5-1542,J,1,#6]" advise="1">
        <values>
          <value>
            <val>67236.41</val>
          </value>
        </values>
      </ddeItem>
      <ddeItem name="@CTA[8-2-4-1-5-1542,J,2,#6]" advise="1">
        <values>
          <value>
            <val>2059.12</val>
          </value>
        </values>
      </ddeItem>
      <ddeItem name="@CTA[8-2-4-1-5-1542,J,3,#6]" advise="1">
        <values>
          <value>
            <val>12219.56</val>
          </value>
        </values>
      </ddeItem>
      <ddeItem name="@CTA[8-2-4-1-5-1542,J,4,#6]" advise="1">
        <values>
          <value>
            <val>16420.43</val>
          </value>
        </values>
      </ddeItem>
      <ddeItem name="@CTA[8-2-4-1-5-1542,J,5,#6]" advise="1">
        <values>
          <value>
            <val>24406.949999999997</val>
          </value>
        </values>
      </ddeItem>
      <ddeItem name="@CTA[8-2-4-1-5-1542,J,6,#6]" advise="1">
        <values>
          <value>
            <val>4117.99</val>
          </value>
        </values>
      </ddeItem>
      <ddeItem name="@CTA[8-2-4-1-5-1542,J,7,#6]" advise="1">
        <values>
          <value>
            <val>24374.03</val>
          </value>
        </values>
      </ddeItem>
      <ddeItem name="@CTA[8-2-4-1-5-1542,J,8,#6]" advise="1">
        <values>
          <value>
            <val>6124.31</val>
          </value>
        </values>
      </ddeItem>
      <ddeItem name="@CTA[8-2-4-1-5-1542,J,9,#6]" advise="1">
        <values>
          <value>
            <val>0</val>
          </value>
        </values>
      </ddeItem>
      <ddeItem name="@CTA[8-2-4-1-5-1543,J,1,#6]" advise="1">
        <values>
          <value>
            <val>0</val>
          </value>
        </values>
      </ddeItem>
      <ddeItem name="@CTA[8-2-4-1-5-1543,J,2,#6]" advise="1">
        <values>
          <value>
            <val>0</val>
          </value>
        </values>
      </ddeItem>
      <ddeItem name="@CTA[8-2-4-1-5-1543,J,3,#6]" advise="1">
        <values>
          <value>
            <val>0</val>
          </value>
        </values>
      </ddeItem>
      <ddeItem name="@CTA[8-2-4-1-5-1543,J,4,#6]" advise="1">
        <values>
          <value t="nil">
            <val>1</val>
          </value>
        </values>
      </ddeItem>
      <ddeItem name="@CTA[8-2-4-1-5-1543,J,5,#6]" advise="1">
        <values>
          <value>
            <val>0</val>
          </value>
        </values>
      </ddeItem>
      <ddeItem name="@CTA[8-2-4-1-5-1543,J,6,#6]" advise="1">
        <values>
          <value t="nil">
            <val>1</val>
          </value>
        </values>
      </ddeItem>
      <ddeItem name="@CTA[8-2-4-1-5-1543,J,7,#6]" advise="1">
        <values>
          <value t="nil">
            <val>1</val>
          </value>
        </values>
      </ddeItem>
      <ddeItem name="@CTA[8-2-4-1-5-1543,J,8,#6]" advise="1">
        <values>
          <value t="nil">
            <val>1</val>
          </value>
        </values>
      </ddeItem>
      <ddeItem name="@CTA[8-2-4-1-5-1543,J,9,#6]" advise="1">
        <values>
          <value t="nil">
            <val>1</val>
          </value>
        </values>
      </ddeItem>
      <ddeItem name="@CTA[8-2-4-1-5-1544,J,1,#6]" advise="1">
        <values>
          <value>
            <val>9100</val>
          </value>
        </values>
      </ddeItem>
      <ddeItem name="@CTA[8-2-4-1-5-1544,J,2,#6]" advise="1">
        <values>
          <value t="nil">
            <val>1</val>
          </value>
        </values>
      </ddeItem>
      <ddeItem name="@CTA[8-2-4-1-5-1544,J,3,#6]" advise="1">
        <values>
          <value t="nil">
            <val>1</val>
          </value>
        </values>
      </ddeItem>
      <ddeItem name="@CTA[8-2-4-1-5-1544,J,4,#6]" advise="1">
        <values>
          <value>
            <val>0</val>
          </value>
        </values>
      </ddeItem>
      <ddeItem name="@CTA[8-2-4-1-5-1544,J,5,#6]" advise="1">
        <values>
          <value>
            <val>2800</val>
          </value>
        </values>
      </ddeItem>
      <ddeItem name="@CTA[8-2-4-1-5-1544,J,6,#6]" advise="1">
        <values>
          <value t="nil">
            <val>1</val>
          </value>
        </values>
      </ddeItem>
      <ddeItem name="@CTA[8-2-4-1-5-1544,J,7,#6]" advise="1">
        <values>
          <value>
            <val>700</val>
          </value>
        </values>
      </ddeItem>
      <ddeItem name="@CTA[8-2-4-1-5-1544,J,8,#6]" advise="1">
        <values>
          <value t="nil">
            <val>1</val>
          </value>
        </values>
      </ddeItem>
      <ddeItem name="@CTA[8-2-4-1-5-1544,J,9,#6]" advise="1">
        <values>
          <value t="nil">
            <val>1</val>
          </value>
        </values>
      </ddeItem>
      <ddeItem name="@CTA[8-2-4-2-1-2111,J,1,#6]" advise="1">
        <values>
          <value>
            <val>1056.6400000000001</val>
          </value>
        </values>
      </ddeItem>
      <ddeItem name="@CTA[8-2-4-2-1-2111,J,2,#6]" advise="1">
        <values>
          <value>
            <val>2211.7199999999998</val>
          </value>
        </values>
      </ddeItem>
      <ddeItem name="@CTA[8-2-4-2-1-2111,J,3,#6]" advise="1">
        <values>
          <value>
            <val>868.88</val>
          </value>
        </values>
      </ddeItem>
      <ddeItem name="@CTA[8-2-4-2-1-2111,J,4,#6]" advise="1">
        <values>
          <value>
            <val>7742.59</val>
          </value>
        </values>
      </ddeItem>
      <ddeItem name="@CTA[8-2-4-2-1-2111,J,5,#6]" advise="1">
        <values>
          <value>
            <val>1263.6500000000001</val>
          </value>
        </values>
      </ddeItem>
      <ddeItem name="@CTA[8-2-4-2-1-2111,J,6,#6]" advise="1">
        <values>
          <value>
            <val>432.3</val>
          </value>
        </values>
      </ddeItem>
      <ddeItem name="@CTA[8-2-4-2-1-2111,J,7,#6]" advise="1">
        <values>
          <value>
            <val>267.67</val>
          </value>
        </values>
      </ddeItem>
      <ddeItem name="@CTA[8-2-4-2-1-2111,J,8,#6]" advise="1">
        <values>
          <value>
            <val>166.11999999999998</val>
          </value>
        </values>
      </ddeItem>
      <ddeItem name="@CTA[8-2-4-2-1-2111,J,9,#6]" advise="1">
        <values>
          <value>
            <val>1997.9500000000003</val>
          </value>
        </values>
      </ddeItem>
      <ddeItem name="@CTA[8-2-4-2-1-2121,J,1,#6]" advise="1">
        <values>
          <value>
            <val>123.41999999999999</val>
          </value>
        </values>
      </ddeItem>
      <ddeItem name="@CTA[8-2-4-2-1-2121,J,2,#6]" advise="1">
        <values>
          <value>
            <val>380.53</val>
          </value>
        </values>
      </ddeItem>
      <ddeItem name="@CTA[8-2-4-2-1-2121,J,3,#6]" advise="1">
        <values>
          <value>
            <val>498.97</val>
          </value>
        </values>
      </ddeItem>
      <ddeItem name="@CTA[8-2-4-2-1-2121,J,4,#6]" advise="1">
        <values>
          <value>
            <val>1934.66</val>
          </value>
        </values>
      </ddeItem>
      <ddeItem name="@CTA[8-2-4-2-1-2121,J,5,#6]" advise="1">
        <values>
          <value>
            <val>941.48</val>
          </value>
        </values>
      </ddeItem>
      <ddeItem name="@CTA[8-2-4-2-1-2121,J,6,#6]" advise="1">
        <values>
          <value>
            <val>0</val>
          </value>
        </values>
      </ddeItem>
      <ddeItem name="@CTA[8-2-4-2-1-2121,J,7,#6]" advise="1">
        <values>
          <value>
            <val>42.8</val>
          </value>
        </values>
      </ddeItem>
      <ddeItem name="@CTA[8-2-4-2-1-2121,J,8,#6]" advise="1">
        <values>
          <value>
            <val>85.59</val>
          </value>
        </values>
      </ddeItem>
      <ddeItem name="@CTA[8-2-4-2-1-2121,J,9,#6]" advise="1">
        <values>
          <value>
            <val>491.46</val>
          </value>
        </values>
      </ddeItem>
      <ddeItem name="@CTA[8-2-4-2-1-2131,J,1,#6]" advise="1">
        <values>
          <value t="nil">
            <val>1</val>
          </value>
        </values>
      </ddeItem>
      <ddeItem name="@CTA[8-2-4-2-1-2131,J,2,#6]" advise="1">
        <values>
          <value t="nil">
            <val>1</val>
          </value>
        </values>
      </ddeItem>
      <ddeItem name="@CTA[8-2-4-2-1-2131,J,3,#6]" advise="1">
        <values>
          <value t="nil">
            <val>1</val>
          </value>
        </values>
      </ddeItem>
      <ddeItem name="@CTA[8-2-4-2-1-2131,J,4,#6]" advise="1">
        <values>
          <value t="nil">
            <val>1</val>
          </value>
        </values>
      </ddeItem>
      <ddeItem name="@CTA[8-2-4-2-1-2131,J,5,#6]" advise="1">
        <values>
          <value t="nil">
            <val>1</val>
          </value>
        </values>
      </ddeItem>
      <ddeItem name="@CTA[8-2-4-2-1-2131,J,6,#6]" advise="1">
        <values>
          <value t="nil">
            <val>1</val>
          </value>
        </values>
      </ddeItem>
      <ddeItem name="@CTA[8-2-4-2-1-2131,J,7,#6]" advise="1">
        <values>
          <value t="nil">
            <val>1</val>
          </value>
        </values>
      </ddeItem>
      <ddeItem name="@CTA[8-2-4-2-1-2131,J,8,#6]" advise="1">
        <values>
          <value t="nil">
            <val>1</val>
          </value>
        </values>
      </ddeItem>
      <ddeItem name="@CTA[8-2-4-2-1-2131,J,9,#6]" advise="1">
        <values>
          <value t="nil">
            <val>1</val>
          </value>
        </values>
      </ddeItem>
      <ddeItem name="@CTA[8-2-4-2-1-2141,J,1,#6]" advise="1">
        <values>
          <value>
            <val>0</val>
          </value>
        </values>
      </ddeItem>
      <ddeItem name="@CTA[8-2-4-2-1-2141,J,2,#6]" advise="1">
        <values>
          <value>
            <val>0</val>
          </value>
        </values>
      </ddeItem>
      <ddeItem name="@CTA[8-2-4-2-1-2141,J,3,#6]" advise="1">
        <values>
          <value>
            <val>0</val>
          </value>
        </values>
      </ddeItem>
      <ddeItem name="@CTA[8-2-4-2-1-2141,J,4,#6]" advise="1">
        <values>
          <value>
            <val>0</val>
          </value>
        </values>
      </ddeItem>
      <ddeItem name="@CTA[8-2-4-2-1-2141,J,5,#6]" advise="1">
        <values>
          <value>
            <val>0</val>
          </value>
        </values>
      </ddeItem>
      <ddeItem name="@CTA[8-2-4-2-1-2141,J,6,#6]" advise="1">
        <values>
          <value>
            <val>14629.960000000001</val>
          </value>
        </values>
      </ddeItem>
      <ddeItem name="@CTA[8-2-4-2-1-2141,J,7,#6]" advise="1">
        <values>
          <value>
            <val>0</val>
          </value>
        </values>
      </ddeItem>
      <ddeItem name="@CTA[8-2-4-2-1-2141,J,8,#6]" advise="1">
        <values>
          <value>
            <val>0</val>
          </value>
        </values>
      </ddeItem>
      <ddeItem name="@CTA[8-2-4-2-1-2141,J,9,#6]" advise="1">
        <values>
          <value>
            <val>0</val>
          </value>
        </values>
      </ddeItem>
      <ddeItem name="@CTA[8-2-4-2-1-2151,J,1,#6]" advise="1">
        <values>
          <value>
            <val>0</val>
          </value>
        </values>
      </ddeItem>
      <ddeItem name="@CTA[8-2-4-2-1-2151,J,2,#6]" advise="1">
        <values>
          <value>
            <val>0</val>
          </value>
        </values>
      </ddeItem>
      <ddeItem name="@CTA[8-2-4-2-1-2151,J,3,#6]" advise="1">
        <values>
          <value>
            <val>0</val>
          </value>
        </values>
      </ddeItem>
      <ddeItem name="@CTA[8-2-4-2-1-2151,J,4,#6]" advise="1">
        <values>
          <value t="nil">
            <val>1</val>
          </value>
        </values>
      </ddeItem>
      <ddeItem name="@CTA[8-2-4-2-1-2151,J,5,#6]" advise="1">
        <values>
          <value>
            <val>0</val>
          </value>
        </values>
      </ddeItem>
      <ddeItem name="@CTA[8-2-4-2-1-2151,J,6,#6]" advise="1">
        <values>
          <value t="nil">
            <val>1</val>
          </value>
        </values>
      </ddeItem>
      <ddeItem name="@CTA[8-2-4-2-1-2151,J,7,#6]" advise="1">
        <values>
          <value t="nil">
            <val>1</val>
          </value>
        </values>
      </ddeItem>
      <ddeItem name="@CTA[8-2-4-2-1-2151,J,8,#6]" advise="1">
        <values>
          <value>
            <val>0</val>
          </value>
        </values>
      </ddeItem>
      <ddeItem name="@CTA[8-2-4-2-1-2151,J,9,#6]" advise="1">
        <values>
          <value t="nil">
            <val>1</val>
          </value>
        </values>
      </ddeItem>
      <ddeItem name="@CTA[8-2-4-2-1-2161,J,1,#6]" advise="1">
        <values>
          <value>
            <val>362.42000000000007</val>
          </value>
        </values>
      </ddeItem>
      <ddeItem name="@CTA[8-2-4-2-1-2161,J,2,#6]" advise="1">
        <values>
          <value>
            <val>9.0500000000000007</val>
          </value>
        </values>
      </ddeItem>
      <ddeItem name="@CTA[8-2-4-2-1-2161,J,3,#6]" advise="1">
        <values>
          <value>
            <val>3971.29</val>
          </value>
        </values>
      </ddeItem>
      <ddeItem name="@CTA[8-2-4-2-1-2161,J,4,#6]" advise="1">
        <values>
          <value>
            <val>19.11</val>
          </value>
        </values>
      </ddeItem>
      <ddeItem name="@CTA[8-2-4-2-1-2161,J,5,#6]" advise="1">
        <values>
          <value>
            <val>0</val>
          </value>
        </values>
      </ddeItem>
      <ddeItem name="@CTA[8-2-4-2-1-2161,J,6,#6]" advise="1">
        <values>
          <value>
            <val>0</val>
          </value>
        </values>
      </ddeItem>
      <ddeItem name="@CTA[8-2-4-2-1-2161,J,7,#6]" advise="1">
        <values>
          <value>
            <val>1199.49</val>
          </value>
        </values>
      </ddeItem>
      <ddeItem name="@CTA[8-2-4-2-1-2161,J,8,#6]" advise="1">
        <values>
          <value>
            <val>0</val>
          </value>
        </values>
      </ddeItem>
      <ddeItem name="@CTA[8-2-4-2-1-2161,J,9,#6]" advise="1">
        <values>
          <value t="nil">
            <val>1</val>
          </value>
        </values>
      </ddeItem>
      <ddeItem name="@CTA[8-2-4-2-1-2171,J,1,#6]" advise="1">
        <values>
          <value>
            <val>0</val>
          </value>
        </values>
      </ddeItem>
      <ddeItem name="@CTA[8-2-4-2-1-2171,J,2,#6]" advise="1">
        <values>
          <value>
            <val>0</val>
          </value>
        </values>
      </ddeItem>
      <ddeItem name="@CTA[8-2-4-2-1-2171,J,3,#6]" advise="1">
        <values>
          <value>
            <val>0</val>
          </value>
        </values>
      </ddeItem>
      <ddeItem name="@CTA[8-2-4-2-1-2171,J,4,#6]" advise="1">
        <values>
          <value>
            <val>4450</val>
          </value>
        </values>
      </ddeItem>
      <ddeItem name="@CTA[8-2-4-2-1-2171,J,5,#6]" advise="1">
        <values>
          <value>
            <val>0</val>
          </value>
        </values>
      </ddeItem>
      <ddeItem name="@CTA[8-2-4-2-1-2171,J,6,#6]" advise="1">
        <values>
          <value t="nil">
            <val>1</val>
          </value>
        </values>
      </ddeItem>
      <ddeItem name="@CTA[8-2-4-2-1-2171,J,7,#6]" advise="1">
        <values>
          <value>
            <val>0</val>
          </value>
        </values>
      </ddeItem>
      <ddeItem name="@CTA[8-2-4-2-1-2171,J,8,#6]" advise="1">
        <values>
          <value>
            <val>0</val>
          </value>
        </values>
      </ddeItem>
      <ddeItem name="@CTA[8-2-4-2-1-2171,J,9,#6]" advise="1">
        <values>
          <value t="nil">
            <val>1</val>
          </value>
        </values>
      </ddeItem>
      <ddeItem name="@CTA[8-2-4-2-2-2211,J,1,#6]" advise="1">
        <values>
          <value>
            <val>3677</val>
          </value>
        </values>
      </ddeItem>
      <ddeItem name="@CTA[8-2-4-2-2-2211,J,2,#6]" advise="1">
        <values>
          <value>
            <val>0</val>
          </value>
        </values>
      </ddeItem>
      <ddeItem name="@CTA[8-2-4-2-2-2211,J,3,#6]" advise="1">
        <values>
          <value>
            <val>761</val>
          </value>
        </values>
      </ddeItem>
      <ddeItem name="@CTA[8-2-4-2-2-2211,J,4,#6]" advise="1">
        <values>
          <value>
            <val>0</val>
          </value>
        </values>
      </ddeItem>
      <ddeItem name="@CTA[8-2-4-2-2-2211,J,5,#6]" advise="1">
        <values>
          <value>
            <val>0</val>
          </value>
        </values>
      </ddeItem>
      <ddeItem name="@CTA[8-2-4-2-2-2211,J,6,#6]" advise="1">
        <values>
          <value>
            <val>0</val>
          </value>
        </values>
      </ddeItem>
      <ddeItem name="@CTA[8-2-4-2-2-2211,J,7,#6]" advise="1">
        <values>
          <value>
            <val>0</val>
          </value>
        </values>
      </ddeItem>
      <ddeItem name="@CTA[8-2-4-2-2-2211,J,8,#6]" advise="1">
        <values>
          <value>
            <val>390</val>
          </value>
        </values>
      </ddeItem>
      <ddeItem name="@CTA[8-2-4-2-2-2211,J,9,#6]" advise="1">
        <values>
          <value>
            <val>0</val>
          </value>
        </values>
      </ddeItem>
      <ddeItem name="@CTA[8-2-4-2-2-2221,J,3,#6]" advise="1">
        <values>
          <value>
            <val>1298.73</val>
          </value>
        </values>
      </ddeItem>
      <ddeItem name="@CTA[8-2-4-2-2-2221,J,7,#6]" advise="1">
        <values>
          <value>
            <val>545.68000000000006</val>
          </value>
        </values>
      </ddeItem>
      <ddeItem name="@CTA[8-2-4-2-2-2231,J,1,#6]" advise="1">
        <values>
          <value>
            <val>386.19</val>
          </value>
        </values>
      </ddeItem>
      <ddeItem name="@CTA[8-2-4-2-2-2231,J,2,#6]" advise="1">
        <values>
          <value>
            <val>6240.5700000000006</val>
          </value>
        </values>
      </ddeItem>
      <ddeItem name="@CTA[8-2-4-2-2-2231,J,3,#6]" advise="1">
        <values>
          <value>
            <val>386.19</val>
          </value>
        </values>
      </ddeItem>
      <ddeItem name="@CTA[8-2-4-2-2-2231,J,4,#6]" advise="1">
        <values>
          <value>
            <val>445.65999999999997</val>
          </value>
        </values>
      </ddeItem>
      <ddeItem name="@CTA[8-2-4-2-2-2231,J,5,#6]" advise="1">
        <values>
          <value>
            <val>386.16999999999996</val>
          </value>
        </values>
      </ddeItem>
      <ddeItem name="@CTA[8-2-4-2-2-2231,J,6,#6]" advise="1">
        <values>
          <value>
            <val>386.15999999999997</val>
          </value>
        </values>
      </ddeItem>
      <ddeItem name="@CTA[8-2-4-2-2-2231,J,7,#6]" advise="1">
        <values>
          <value>
            <val>386.16999999999996</val>
          </value>
        </values>
      </ddeItem>
      <ddeItem name="@CTA[8-2-4-2-2-2231,J,8,#6]" advise="1">
        <values>
          <value>
            <val>386.16999999999996</val>
          </value>
        </values>
      </ddeItem>
      <ddeItem name="@CTA[8-2-4-2-2-2231,J,9,#6]" advise="1">
        <values>
          <value>
            <val>386.20000000000005</val>
          </value>
        </values>
      </ddeItem>
      <ddeItem name="@CTA[8-2-4-2-4-2411,J,1,#6]" advise="1">
        <values>
          <value>
            <val>600</val>
          </value>
        </values>
      </ddeItem>
      <ddeItem name="@CTA[8-2-4-2-4-2411,J,2,#6]" advise="1">
        <values>
          <value>
            <val>0</val>
          </value>
        </values>
      </ddeItem>
      <ddeItem name="@CTA[8-2-4-2-4-2411,J,3,#6]" advise="1">
        <values>
          <value>
            <val>0</val>
          </value>
        </values>
      </ddeItem>
      <ddeItem name="@CTA[8-2-4-2-4-2411,J,4,#6]" advise="1">
        <values>
          <value>
            <val>0</val>
          </value>
        </values>
      </ddeItem>
      <ddeItem name="@CTA[8-2-4-2-4-2411,J,5,#6]" advise="1">
        <values>
          <value t="nil">
            <val>1</val>
          </value>
        </values>
      </ddeItem>
      <ddeItem name="@CTA[8-2-4-2-4-2411,J,6,#6]" advise="1">
        <values>
          <value t="nil">
            <val>1</val>
          </value>
        </values>
      </ddeItem>
      <ddeItem name="@CTA[8-2-4-2-4-2411,J,7,#6]" advise="1">
        <values>
          <value>
            <val>0</val>
          </value>
        </values>
      </ddeItem>
      <ddeItem name="@CTA[8-2-4-2-4-2411,J,8,#6]" advise="1">
        <values>
          <value>
            <val>0</val>
          </value>
        </values>
      </ddeItem>
      <ddeItem name="@CTA[8-2-4-2-4-2411,J,9,#6]" advise="1">
        <values>
          <value t="nil">
            <val>1</val>
          </value>
        </values>
      </ddeItem>
      <ddeItem name="@CTA[8-2-4-2-4-2461,J,1,#6]" advise="1">
        <values>
          <value>
            <val>1630</val>
          </value>
        </values>
      </ddeItem>
      <ddeItem name="@CTA[8-2-4-2-4-2461,J,2,#6]" advise="1">
        <values>
          <value>
            <val>0</val>
          </value>
        </values>
      </ddeItem>
      <ddeItem name="@CTA[8-2-4-2-4-2461,J,3,#6]" advise="1">
        <values>
          <value>
            <val>0</val>
          </value>
        </values>
      </ddeItem>
      <ddeItem name="@CTA[8-2-4-2-4-2461,J,4,#6]" advise="1">
        <values>
          <value>
            <val>0</val>
          </value>
        </values>
      </ddeItem>
      <ddeItem name="@CTA[8-2-4-2-4-2461,J,5,#6]" advise="1">
        <values>
          <value>
            <val>0</val>
          </value>
        </values>
      </ddeItem>
      <ddeItem name="@CTA[8-2-4-2-4-2461,J,6,#6]" advise="1">
        <values>
          <value>
            <val>0</val>
          </value>
        </values>
      </ddeItem>
      <ddeItem name="@CTA[8-2-4-2-4-2461,J,7,#6]" advise="1">
        <values>
          <value>
            <val>32.74</val>
          </value>
        </values>
      </ddeItem>
      <ddeItem name="@CTA[8-2-4-2-4-2461,J,8,#6]" advise="1">
        <values>
          <value>
            <val>0</val>
          </value>
        </values>
      </ddeItem>
      <ddeItem name="@CTA[8-2-4-2-4-2461,J,9,#6]" advise="1">
        <values>
          <value>
            <val>0</val>
          </value>
        </values>
      </ddeItem>
      <ddeItem name="@CTA[8-2-4-2-4-2471,J,1,#6]" advise="1">
        <values>
          <value>
            <val>759.12</val>
          </value>
        </values>
      </ddeItem>
      <ddeItem name="@CTA[8-2-4-2-4-2471,J,2,#6]" advise="1">
        <values>
          <value>
            <val>0</val>
          </value>
        </values>
      </ddeItem>
      <ddeItem name="@CTA[8-2-4-2-4-2471,J,3,#6]" advise="1">
        <values>
          <value>
            <val>180</val>
          </value>
        </values>
      </ddeItem>
      <ddeItem name="@CTA[8-2-4-2-4-2471,J,4,#6]" advise="1">
        <values>
          <value>
            <val>0</val>
          </value>
        </values>
      </ddeItem>
      <ddeItem name="@CTA[8-2-4-2-4-2471,J,5,#6]" advise="1">
        <values>
          <value>
            <val>0</val>
          </value>
        </values>
      </ddeItem>
      <ddeItem name="@CTA[8-2-4-2-4-2471,J,6,#6]" advise="1">
        <values>
          <value>
            <val>0</val>
          </value>
        </values>
      </ddeItem>
      <ddeItem name="@CTA[8-2-4-2-4-2471,J,7,#6]" advise="1">
        <values>
          <value>
            <val>9080</val>
          </value>
        </values>
      </ddeItem>
      <ddeItem name="@CTA[8-2-4-2-4-2471,J,8,#6]" advise="1">
        <values>
          <value>
            <val>0</val>
          </value>
        </values>
      </ddeItem>
      <ddeItem name="@CTA[8-2-4-2-4-2471,J,9,#6]" advise="1">
        <values>
          <value t="nil">
            <val>1</val>
          </value>
        </values>
      </ddeItem>
      <ddeItem name="@CTA[8-2-4-2-4-2481,J,1,#6]" advise="1">
        <values>
          <value t="nil">
            <val>1</val>
          </value>
        </values>
      </ddeItem>
      <ddeItem name="@CTA[8-2-4-2-4-2481,J,2,#6]" advise="1">
        <values>
          <value t="nil">
            <val>1</val>
          </value>
        </values>
      </ddeItem>
      <ddeItem name="@CTA[8-2-4-2-4-2481,J,3,#6]" advise="1">
        <values>
          <value t="nil">
            <val>1</val>
          </value>
        </values>
      </ddeItem>
      <ddeItem name="@CTA[8-2-4-2-4-2481,J,4,#6]" advise="1">
        <values>
          <value t="nil">
            <val>1</val>
          </value>
        </values>
      </ddeItem>
      <ddeItem name="@CTA[8-2-4-2-4-2481,J,5,#6]" advise="1">
        <values>
          <value t="nil">
            <val>1</val>
          </value>
        </values>
      </ddeItem>
      <ddeItem name="@CTA[8-2-4-2-4-2481,J,6,#6]" advise="1">
        <values>
          <value t="nil">
            <val>1</val>
          </value>
        </values>
      </ddeItem>
      <ddeItem name="@CTA[8-2-4-2-4-2481,J,7,#6]" advise="1">
        <values>
          <value t="nil">
            <val>1</val>
          </value>
        </values>
      </ddeItem>
      <ddeItem name="@CTA[8-2-4-2-4-2481,J,8,#6]" advise="1">
        <values>
          <value t="nil">
            <val>1</val>
          </value>
        </values>
      </ddeItem>
      <ddeItem name="@CTA[8-2-4-2-4-2481,J,9,#6]" advise="1">
        <values>
          <value t="nil">
            <val>1</val>
          </value>
        </values>
      </ddeItem>
      <ddeItem name="@CTA[8-2-4-2-4-2491,J,1,#6]" advise="1">
        <values>
          <value>
            <val>203122.40000000002</val>
          </value>
        </values>
      </ddeItem>
      <ddeItem name="@CTA[8-2-4-2-4-2491,J,2,#6]" advise="1">
        <values>
          <value t="nil">
            <val>1</val>
          </value>
        </values>
      </ddeItem>
      <ddeItem name="@CTA[8-2-4-2-4-2491,J,3,#6]" advise="1">
        <values>
          <value t="nil">
            <val>1</val>
          </value>
        </values>
      </ddeItem>
      <ddeItem name="@CTA[8-2-4-2-4-2491,J,4,#6]" advise="1">
        <values>
          <value t="nil">
            <val>1</val>
          </value>
        </values>
      </ddeItem>
      <ddeItem name="@CTA[8-2-4-2-4-2491,J,5,#6]" advise="1">
        <values>
          <value>
            <val>252904</val>
          </value>
        </values>
      </ddeItem>
      <ddeItem name="@CTA[8-2-4-2-4-2491,J,6,#6]" advise="1">
        <values>
          <value>
            <val>0</val>
          </value>
        </values>
      </ddeItem>
      <ddeItem name="@CTA[8-2-4-2-4-2491,J,7,#6]" advise="1">
        <values>
          <value t="nil">
            <val>1</val>
          </value>
        </values>
      </ddeItem>
      <ddeItem name="@CTA[8-2-4-2-4-2491,J,8,#6]" advise="1">
        <values>
          <value t="nil">
            <val>1</val>
          </value>
        </values>
      </ddeItem>
      <ddeItem name="@CTA[8-2-4-2-4-2491,J,9,#6]" advise="1">
        <values>
          <value t="nil">
            <val>1</val>
          </value>
        </values>
      </ddeItem>
      <ddeItem name="@CTA[8-2-4-2-4-2492,J,1,#6]" advise="1">
        <values>
          <value>
            <val>209077.21000000002</val>
          </value>
        </values>
      </ddeItem>
      <ddeItem name="@CTA[8-2-4-2-4-2492,J,2,#6]" advise="1">
        <values>
          <value t="nil">
            <val>1</val>
          </value>
        </values>
      </ddeItem>
      <ddeItem name="@CTA[8-2-4-2-4-2492,J,3,#6]" advise="1">
        <values>
          <value>
            <val>0</val>
          </value>
        </values>
      </ddeItem>
      <ddeItem name="@CTA[8-2-4-2-4-2492,J,4,#6]" advise="1">
        <values>
          <value t="nil">
            <val>1</val>
          </value>
        </values>
      </ddeItem>
      <ddeItem name="@CTA[8-2-4-2-4-2492,J,5,#6]" advise="1">
        <values>
          <value t="nil">
            <val>1</val>
          </value>
        </values>
      </ddeItem>
      <ddeItem name="@CTA[8-2-4-2-4-2492,J,6,#6]" advise="1">
        <values>
          <value t="nil">
            <val>1</val>
          </value>
        </values>
      </ddeItem>
      <ddeItem name="@CTA[8-2-4-2-4-2492,J,7,#6]" advise="1">
        <values>
          <value>
            <val>0</val>
          </value>
        </values>
      </ddeItem>
      <ddeItem name="@CTA[8-2-4-2-4-2492,J,8,#6]" advise="1">
        <values>
          <value>
            <val>0</val>
          </value>
        </values>
      </ddeItem>
      <ddeItem name="@CTA[8-2-4-2-4-2492,J,9,#6]" advise="1">
        <values>
          <value t="nil">
            <val>1</val>
          </value>
        </values>
      </ddeItem>
      <ddeItem name="@CTA[8-2-4-2-5-2531,J,1,#6]" advise="1">
        <values>
          <value t="nil">
            <val>1</val>
          </value>
        </values>
      </ddeItem>
      <ddeItem name="@CTA[8-2-4-2-5-2531,J,2,#6]" advise="1">
        <values>
          <value t="nil">
            <val>1</val>
          </value>
        </values>
      </ddeItem>
      <ddeItem name="@CTA[8-2-4-2-5-2531,J,3,#6]" advise="1">
        <values>
          <value>
            <val>0</val>
          </value>
        </values>
      </ddeItem>
      <ddeItem name="@CTA[8-2-4-2-5-2531,J,4,#6]" advise="1">
        <values>
          <value t="nil">
            <val>1</val>
          </value>
        </values>
      </ddeItem>
      <ddeItem name="@CTA[8-2-4-2-5-2531,J,5,#6]" advise="1">
        <values>
          <value t="nil">
            <val>1</val>
          </value>
        </values>
      </ddeItem>
      <ddeItem name="@CTA[8-2-4-2-5-2531,J,6,#6]" advise="1">
        <values>
          <value t="nil">
            <val>1</val>
          </value>
        </values>
      </ddeItem>
      <ddeItem name="@CTA[8-2-4-2-5-2531,J,7,#6]" advise="1">
        <values>
          <value>
            <val>0</val>
          </value>
        </values>
      </ddeItem>
      <ddeItem name="@CTA[8-2-4-2-5-2531,J,8,#6]" advise="1">
        <values>
          <value t="nil">
            <val>1</val>
          </value>
        </values>
      </ddeItem>
      <ddeItem name="@CTA[8-2-4-2-5-2531,J,9,#6]" advise="1">
        <values>
          <value t="nil">
            <val>1</val>
          </value>
        </values>
      </ddeItem>
      <ddeItem name="@CTA[8-2-4-2-5-2551,J,1,#6]" advise="1">
        <values>
          <value t="nil">
            <val>1</val>
          </value>
        </values>
      </ddeItem>
      <ddeItem name="@CTA[8-2-4-2-5-2551,J,2,#6]" advise="1">
        <values>
          <value t="nil">
            <val>1</val>
          </value>
        </values>
      </ddeItem>
      <ddeItem name="@CTA[8-2-4-2-5-2551,J,3,#6]" advise="1">
        <values>
          <value t="nil">
            <val>1</val>
          </value>
        </values>
      </ddeItem>
      <ddeItem name="@CTA[8-2-4-2-5-2551,J,4,#6]" advise="1">
        <values>
          <value t="nil">
            <val>1</val>
          </value>
        </values>
      </ddeItem>
      <ddeItem name="@CTA[8-2-4-2-5-2551,J,5,#6]" advise="1">
        <values>
          <value t="nil">
            <val>1</val>
          </value>
        </values>
      </ddeItem>
      <ddeItem name="@CTA[8-2-4-2-5-2551,J,6,#6]" advise="1">
        <values>
          <value t="nil">
            <val>1</val>
          </value>
        </values>
      </ddeItem>
      <ddeItem name="@CTA[8-2-4-2-5-2551,J,7,#6]" advise="1">
        <values>
          <value>
            <val>0</val>
          </value>
        </values>
      </ddeItem>
      <ddeItem name="@CTA[8-2-4-2-5-2551,J,8,#6]" advise="1">
        <values>
          <value t="nil">
            <val>1</val>
          </value>
        </values>
      </ddeItem>
      <ddeItem name="@CTA[8-2-4-2-5-2551,J,9,#6]" advise="1">
        <values>
          <value t="nil">
            <val>1</val>
          </value>
        </values>
      </ddeItem>
      <ddeItem name="@CTA[8-2-4-2-5-2591,J,1,#6]" advise="1">
        <values>
          <value>
            <val>125048.93</val>
          </value>
        </values>
      </ddeItem>
      <ddeItem name="@CTA[8-2-4-2-5-2591,J,2,#6]" advise="1">
        <values>
          <value>
            <val>26.94</val>
          </value>
        </values>
      </ddeItem>
      <ddeItem name="@CTA[8-2-4-2-5-2591,J,3,#6]" advise="1">
        <values>
          <value>
            <val>26.94</val>
          </value>
        </values>
      </ddeItem>
      <ddeItem name="@CTA[8-2-4-2-5-2591,J,4,#6]" advise="1">
        <values>
          <value>
            <val>26.94</val>
          </value>
        </values>
      </ddeItem>
      <ddeItem name="@CTA[8-2-4-2-5-2591,J,5,#6]" advise="1">
        <values>
          <value>
            <val>26.94</val>
          </value>
        </values>
      </ddeItem>
      <ddeItem name="@CTA[8-2-4-2-5-2591,J,6,#6]" advise="1">
        <values>
          <value>
            <val>26.94</val>
          </value>
        </values>
      </ddeItem>
      <ddeItem name="@CTA[8-2-4-2-5-2591,J,7,#6]" advise="1">
        <values>
          <value>
            <val>26.94</val>
          </value>
        </values>
      </ddeItem>
      <ddeItem name="@CTA[8-2-4-2-5-2591,J,8,#6]" advise="1">
        <values>
          <value>
            <val>26.94</val>
          </value>
        </values>
      </ddeItem>
      <ddeItem name="@CTA[8-2-4-2-5-2591,J,9,#6]" advise="1">
        <values>
          <value>
            <val>0</val>
          </value>
        </values>
      </ddeItem>
      <ddeItem name="@CTA[8-2-4-2-6-2611,J,1,#6]" advise="1">
        <values>
          <value>
            <val>0</val>
          </value>
        </values>
      </ddeItem>
      <ddeItem name="@CTA[8-2-4-2-6-2611,J,2,#6]" advise="1">
        <values>
          <value>
            <val>5321.0499999999993</val>
          </value>
        </values>
      </ddeItem>
      <ddeItem name="@CTA[8-2-4-2-6-2611,J,3,#6]" advise="1">
        <values>
          <value t="nil">
            <val>1</val>
          </value>
        </values>
      </ddeItem>
      <ddeItem name="@CTA[8-2-4-2-6-2611,J,4,#6]" advise="1">
        <values>
          <value>
            <val>0</val>
          </value>
        </values>
      </ddeItem>
      <ddeItem name="@CTA[8-2-4-2-6-2611,J,5,#6]" advise="1">
        <values>
          <value>
            <val>915.59</val>
          </value>
        </values>
      </ddeItem>
      <ddeItem name="@CTA[8-2-4-2-6-2611,J,6,#6]" advise="1">
        <values>
          <value t="nil">
            <val>1</val>
          </value>
        </values>
      </ddeItem>
      <ddeItem name="@CTA[8-2-4-2-6-2611,J,7,#6]" advise="1">
        <values>
          <value>
            <val>7670.68</val>
          </value>
        </values>
      </ddeItem>
      <ddeItem name="@CTA[8-2-4-2-6-2611,J,8,#6]" advise="1">
        <values>
          <value>
            <val>2430.08</val>
          </value>
        </values>
      </ddeItem>
      <ddeItem name="@CTA[8-2-4-2-6-2611,J,9,#6]" advise="1">
        <values>
          <value>
            <val>5001.5599999999995</val>
          </value>
        </values>
      </ddeItem>
      <ddeItem name="@CTA[8-2-4-2-6-2612,J,1,#6]" advise="1">
        <values>
          <value>
            <val>152122.88</val>
          </value>
        </values>
      </ddeItem>
      <ddeItem name="@CTA[8-2-4-2-6-2612,J,2,#6]" advise="1">
        <values>
          <value t="nil">
            <val>1</val>
          </value>
        </values>
      </ddeItem>
      <ddeItem name="@CTA[8-2-4-2-6-2612,J,3,#6]" advise="1">
        <values>
          <value t="nil">
            <val>1</val>
          </value>
        </values>
      </ddeItem>
      <ddeItem name="@CTA[8-2-4-2-6-2612,J,4,#6]" advise="1">
        <values>
          <value t="nil">
            <val>1</val>
          </value>
        </values>
      </ddeItem>
      <ddeItem name="@CTA[8-2-4-2-6-2612,J,5,#6]" advise="1">
        <values>
          <value t="nil">
            <val>1</val>
          </value>
        </values>
      </ddeItem>
      <ddeItem name="@CTA[8-2-4-2-6-2612,J,6,#6]" advise="1">
        <values>
          <value t="nil">
            <val>1</val>
          </value>
        </values>
      </ddeItem>
      <ddeItem name="@CTA[8-2-4-2-6-2612,J,7,#6]" advise="1">
        <values>
          <value>
            <val>3890.4300000000003</val>
          </value>
        </values>
      </ddeItem>
      <ddeItem name="@CTA[8-2-4-2-6-2612,J,8,#6]" advise="1">
        <values>
          <value t="nil">
            <val>1</val>
          </value>
        </values>
      </ddeItem>
      <ddeItem name="@CTA[8-2-4-2-6-2612,J,9,#6]" advise="1">
        <values>
          <value t="nil">
            <val>1</val>
          </value>
        </values>
      </ddeItem>
      <ddeItem name="@CTA[8-2-4-2-7-2711,J,1,#6]" advise="1">
        <values>
          <value>
            <val>5058.0599999999995</val>
          </value>
        </values>
      </ddeItem>
      <ddeItem name="@CTA[8-2-4-2-7-2711,J,2,#6]" advise="1">
        <values>
          <value>
            <val>8689.68</val>
          </value>
        </values>
      </ddeItem>
      <ddeItem name="@CTA[8-2-4-2-7-2711,J,3,#6]" advise="1">
        <values>
          <value>
            <val>4980</val>
          </value>
        </values>
      </ddeItem>
      <ddeItem name="@CTA[8-2-4-2-7-2711,J,4,#6]" advise="1">
        <values>
          <value>
            <val>15796.02</val>
          </value>
        </values>
      </ddeItem>
      <ddeItem name="@CTA[8-2-4-2-7-2711,J,5,#6]" advise="1">
        <values>
          <value>
            <val>6692.04</val>
          </value>
        </values>
      </ddeItem>
      <ddeItem name="@CTA[8-2-4-2-7-2711,J,6,#6]" advise="1">
        <values>
          <value>
            <val>1712.04</val>
          </value>
        </values>
      </ddeItem>
      <ddeItem name="@CTA[8-2-4-2-7-2711,J,7,#6]" advise="1">
        <values>
          <value>
            <val>856.02</val>
          </value>
        </values>
      </ddeItem>
      <ddeItem name="@CTA[8-2-4-2-7-2711,J,8,#6]" advise="1">
        <values>
          <value>
            <val>1712.04</val>
          </value>
        </values>
      </ddeItem>
      <ddeItem name="@CTA[8-2-4-2-7-2711,J,9,#6]" advise="1">
        <values>
          <value>
            <val>4201.1000000000004</val>
          </value>
        </values>
      </ddeItem>
      <ddeItem name="@CTA[8-2-4-2-7-2712,J,1,#6]" advise="1">
        <values>
          <value>
            <val>49212.54</val>
          </value>
        </values>
      </ddeItem>
      <ddeItem name="@CTA[8-2-4-2-7-2712,J,2,#6]" advise="1">
        <values>
          <value>
            <val>587.4</val>
          </value>
        </values>
      </ddeItem>
      <ddeItem name="@CTA[8-2-4-2-7-2712,J,3,#6]" advise="1">
        <values>
          <value>
            <val>7994.62</val>
          </value>
        </values>
      </ddeItem>
      <ddeItem name="@CTA[8-2-4-2-7-2712,J,4,#6]" advise="1">
        <values>
          <value>
            <val>0</val>
          </value>
        </values>
      </ddeItem>
      <ddeItem name="@CTA[8-2-4-2-7-2712,J,5,#6]" advise="1">
        <values>
          <value>
            <val>9317.7799999999988</val>
          </value>
        </values>
      </ddeItem>
      <ddeItem name="@CTA[8-2-4-2-7-2712,J,6,#6]" advise="1">
        <values>
          <value t="nil">
            <val>1</val>
          </value>
        </values>
      </ddeItem>
      <ddeItem name="@CTA[8-2-4-2-7-2712,J,7,#6]" advise="1">
        <values>
          <value>
            <val>12808</val>
          </value>
        </values>
      </ddeItem>
      <ddeItem name="@CTA[8-2-4-2-7-2712,J,8,#6]" advise="1">
        <values>
          <value t="nil">
            <val>1</val>
          </value>
        </values>
      </ddeItem>
      <ddeItem name="@CTA[8-2-4-2-7-2712,J,9,#6]" advise="1">
        <values>
          <value t="nil">
            <val>1</val>
          </value>
        </values>
      </ddeItem>
      <ddeItem name="@CTA[8-2-4-2-7-2721,J,1,#6]" advise="1">
        <values>
          <value>
            <val>449.24</val>
          </value>
        </values>
      </ddeItem>
      <ddeItem name="@CTA[8-2-4-2-7-2721,J,2,#6]" advise="1">
        <values>
          <value>
            <val>0</val>
          </value>
        </values>
      </ddeItem>
      <ddeItem name="@CTA[8-2-4-2-7-2721,J,3,#6]" advise="1">
        <values>
          <value>
            <val>0</val>
          </value>
        </values>
      </ddeItem>
      <ddeItem name="@CTA[8-2-4-2-7-2721,J,4,#6]" advise="1">
        <values>
          <value>
            <val>0</val>
          </value>
        </values>
      </ddeItem>
      <ddeItem name="@CTA[8-2-4-2-7-2721,J,5,#6]" advise="1">
        <values>
          <value>
            <val>0</val>
          </value>
        </values>
      </ddeItem>
      <ddeItem name="@CTA[8-2-4-2-7-2721,J,6,#6]" advise="1">
        <values>
          <value>
            <val>0</val>
          </value>
        </values>
      </ddeItem>
      <ddeItem name="@CTA[8-2-4-2-7-2721,J,7,#6]" advise="1">
        <values>
          <value>
            <val>544.22</val>
          </value>
        </values>
      </ddeItem>
      <ddeItem name="@CTA[8-2-4-2-7-2721,J,8,#6]" advise="1">
        <values>
          <value>
            <val>120</val>
          </value>
        </values>
      </ddeItem>
      <ddeItem name="@CTA[8-2-4-2-7-2721,J,9,#6]" advise="1">
        <values>
          <value>
            <val>0</val>
          </value>
        </values>
      </ddeItem>
      <ddeItem name="@CTA[8-2-4-2-7-2731,J,1,#6]" advise="1">
        <values>
          <value>
            <val>0</val>
          </value>
        </values>
      </ddeItem>
      <ddeItem name="@CTA[8-2-4-2-7-2731,J,2,#6]" advise="1">
        <values>
          <value t="nil">
            <val>1</val>
          </value>
        </values>
      </ddeItem>
      <ddeItem name="@CTA[8-2-4-2-7-2731,J,3,#6]" advise="1">
        <values>
          <value t="nil">
            <val>1</val>
          </value>
        </values>
      </ddeItem>
      <ddeItem name="@CTA[8-2-4-2-7-2731,J,4,#6]" advise="1">
        <values>
          <value t="nil">
            <val>1</val>
          </value>
        </values>
      </ddeItem>
      <ddeItem name="@CTA[8-2-4-2-7-2731,J,5,#6]" advise="1">
        <values>
          <value t="nil">
            <val>1</val>
          </value>
        </values>
      </ddeItem>
      <ddeItem name="@CTA[8-2-4-2-7-2731,J,6,#6]" advise="1">
        <values>
          <value t="nil">
            <val>1</val>
          </value>
        </values>
      </ddeItem>
      <ddeItem name="@CTA[8-2-4-2-7-2731,J,7,#6]" advise="1">
        <values>
          <value>
            <val>0</val>
          </value>
        </values>
      </ddeItem>
      <ddeItem name="@CTA[8-2-4-2-7-2731,J,8,#6]" advise="1">
        <values>
          <value t="nil">
            <val>1</val>
          </value>
        </values>
      </ddeItem>
      <ddeItem name="@CTA[8-2-4-2-7-2731,J,9,#6]" advise="1">
        <values>
          <value t="nil">
            <val>1</val>
          </value>
        </values>
      </ddeItem>
      <ddeItem name="@CTA[8-2-4-2-9-2911,J,1,#6]" advise="1">
        <values>
          <value>
            <val>17816.080000000002</val>
          </value>
        </values>
      </ddeItem>
      <ddeItem name="@CTA[8-2-4-2-9-2911,J,2,#6]" advise="1">
        <values>
          <value>
            <val>0</val>
          </value>
        </values>
      </ddeItem>
      <ddeItem name="@CTA[8-2-4-2-9-2911,J,3,#6]" advise="1">
        <values>
          <value>
            <val>655.43000000000006</val>
          </value>
        </values>
      </ddeItem>
      <ddeItem name="@CTA[8-2-4-2-9-2911,J,4,#6]" advise="1">
        <values>
          <value>
            <val>0</val>
          </value>
        </values>
      </ddeItem>
      <ddeItem name="@CTA[8-2-4-2-9-2911,J,5,#6]" advise="1">
        <values>
          <value>
            <val>1031</val>
          </value>
        </values>
      </ddeItem>
      <ddeItem name="@CTA[8-2-4-2-9-2911,J,6,#6]" advise="1">
        <values>
          <value>
            <val>719.99</val>
          </value>
        </values>
      </ddeItem>
      <ddeItem name="@CTA[8-2-4-2-9-2911,J,7,#6]" advise="1">
        <values>
          <value>
            <val>1165.02</val>
          </value>
        </values>
      </ddeItem>
      <ddeItem name="@CTA[8-2-4-2-9-2911,J,8,#6]" advise="1">
        <values>
          <value>
            <val>826.22</val>
          </value>
        </values>
      </ddeItem>
      <ddeItem name="@CTA[8-2-4-2-9-2911,J,9,#6]" advise="1">
        <values>
          <value>
            <val>340.09</val>
          </value>
        </values>
      </ddeItem>
      <ddeItem name="@CTA[8-2-4-3-1-3111,J,1,#6]" advise="1">
        <values>
          <value>
            <val>1650375.4099999997</val>
          </value>
        </values>
      </ddeItem>
      <ddeItem name="@CTA[8-2-4-3-1-3111,J,2,#6]" advise="1">
        <values>
          <value>
            <val>2187.1799999999998</val>
          </value>
        </values>
      </ddeItem>
      <ddeItem name="@CTA[8-2-4-3-1-3111,J,3,#6]" advise="1">
        <values>
          <value>
            <val>2187.1799999999998</val>
          </value>
        </values>
      </ddeItem>
      <ddeItem name="@CTA[8-2-4-3-1-3111,J,4,#6]" advise="1">
        <values>
          <value>
            <val>2187.1799999999998</val>
          </value>
        </values>
      </ddeItem>
      <ddeItem name="@CTA[8-2-4-3-1-3111,J,5,#6]" advise="1">
        <values>
          <value>
            <val>2187.19</val>
          </value>
        </values>
      </ddeItem>
      <ddeItem name="@CTA[8-2-4-3-1-3111,J,6,#6]" advise="1">
        <values>
          <value>
            <val>2187.19</val>
          </value>
        </values>
      </ddeItem>
      <ddeItem name="@CTA[8-2-4-3-1-3111,J,7,#6]" advise="1">
        <values>
          <value>
            <val>336158.48</val>
          </value>
        </values>
      </ddeItem>
      <ddeItem name="@CTA[8-2-4-3-1-3111,J,8,#6]" advise="1">
        <values>
          <value>
            <val>2187.19</val>
          </value>
        </values>
      </ddeItem>
      <ddeItem name="@CTA[8-2-4-3-1-3111,J,9,#6]" advise="1">
        <values>
          <value>
            <val>2187.19</val>
          </value>
        </values>
      </ddeItem>
      <ddeItem name="@CTA[8-2-4-3-1-3131,J,1,#6]" advise="1">
        <values>
          <value>
            <val>182.39000000000001</val>
          </value>
        </values>
      </ddeItem>
      <ddeItem name="@CTA[8-2-4-3-1-3131,J,2,#6]" advise="1">
        <values>
          <value>
            <val>182.39000000000001</val>
          </value>
        </values>
      </ddeItem>
      <ddeItem name="@CTA[8-2-4-3-1-3131,J,3,#6]" advise="1">
        <values>
          <value>
            <val>182.39000000000001</val>
          </value>
        </values>
      </ddeItem>
      <ddeItem name="@CTA[8-2-4-3-1-3131,J,4,#6]" advise="1">
        <values>
          <value>
            <val>182.39000000000001</val>
          </value>
        </values>
      </ddeItem>
      <ddeItem name="@CTA[8-2-4-3-1-3131,J,5,#6]" advise="1">
        <values>
          <value>
            <val>182.4</val>
          </value>
        </values>
      </ddeItem>
      <ddeItem name="@CTA[8-2-4-3-1-3131,J,6,#6]" advise="1">
        <values>
          <value>
            <val>182.4</val>
          </value>
        </values>
      </ddeItem>
      <ddeItem name="@CTA[8-2-4-3-1-3131,J,7,#6]" advise="1">
        <values>
          <value>
            <val>182.4</val>
          </value>
        </values>
      </ddeItem>
      <ddeItem name="@CTA[8-2-4-3-1-3131,J,8,#6]" advise="1">
        <values>
          <value>
            <val>182.4</val>
          </value>
        </values>
      </ddeItem>
      <ddeItem name="@CTA[8-2-4-3-1-3131,J,9,#6]" advise="1">
        <values>
          <value>
            <val>182.41</val>
          </value>
        </values>
      </ddeItem>
      <ddeItem name="@CTA[8-2-4-3-1-3141,J,1,#6]" advise="1">
        <values>
          <value>
            <val>1091.02</val>
          </value>
        </values>
      </ddeItem>
      <ddeItem name="@CTA[8-2-4-3-1-3141,J,2,#6]" advise="1">
        <values>
          <value>
            <val>1091.02</val>
          </value>
        </values>
      </ddeItem>
      <ddeItem name="@CTA[8-2-4-3-1-3141,J,3,#6]" advise="1">
        <values>
          <value>
            <val>1091.02</val>
          </value>
        </values>
      </ddeItem>
      <ddeItem name="@CTA[8-2-4-3-1-3141,J,4,#6]" advise="1">
        <values>
          <value>
            <val>1091.02</val>
          </value>
        </values>
      </ddeItem>
      <ddeItem name="@CTA[8-2-4-3-1-3141,J,5,#6]" advise="1">
        <values>
          <value>
            <val>1091.02</val>
          </value>
        </values>
      </ddeItem>
      <ddeItem name="@CTA[8-2-4-3-1-3141,J,6,#6]" advise="1">
        <values>
          <value>
            <val>1091.01</val>
          </value>
        </values>
      </ddeItem>
      <ddeItem name="@CTA[8-2-4-3-1-3141,J,7,#6]" advise="1">
        <values>
          <value>
            <val>1091</val>
          </value>
        </values>
      </ddeItem>
      <ddeItem name="@CTA[8-2-4-3-1-3141,J,8,#6]" advise="1">
        <values>
          <value>
            <val>1090.98</val>
          </value>
        </values>
      </ddeItem>
      <ddeItem name="@CTA[8-2-4-3-1-3141,J,9,#6]" advise="1">
        <values>
          <value>
            <val>1090.97</val>
          </value>
        </values>
      </ddeItem>
      <ddeItem name="@CTA[8-2-4-3-1-3161,J,1,#6]" advise="1">
        <values>
          <value>
            <val>3068.26</val>
          </value>
        </values>
      </ddeItem>
      <ddeItem name="@CTA[8-2-4-3-1-3161,J,2,#6]" advise="1">
        <values>
          <value>
            <val>2098.9499999999998</val>
          </value>
        </values>
      </ddeItem>
      <ddeItem name="@CTA[8-2-4-3-1-3161,J,3,#6]" advise="1">
        <values>
          <value>
            <val>0</val>
          </value>
        </values>
      </ddeItem>
      <ddeItem name="@CTA[8-2-4-3-1-3161,J,4,#6]" advise="1">
        <values>
          <value>
            <val>0</val>
          </value>
        </values>
      </ddeItem>
      <ddeItem name="@CTA[8-2-4-3-1-3161,J,5,#6]" advise="1">
        <values>
          <value>
            <val>0</val>
          </value>
        </values>
      </ddeItem>
      <ddeItem name="@CTA[8-2-4-3-1-3161,J,6,#6]" advise="1">
        <values>
          <value>
            <val>0</val>
          </value>
        </values>
      </ddeItem>
      <ddeItem name="@CTA[8-2-4-3-1-3161,J,7,#6]" advise="1">
        <values>
          <value>
            <val>0</val>
          </value>
        </values>
      </ddeItem>
      <ddeItem name="@CTA[8-2-4-3-1-3161,J,8,#6]" advise="1">
        <values>
          <value>
            <val>0</val>
          </value>
        </values>
      </ddeItem>
      <ddeItem name="@CTA[8-2-4-3-1-3161,J,9,#6]" advise="1">
        <values>
          <value>
            <val>0</val>
          </value>
        </values>
      </ddeItem>
      <ddeItem name="@CTA[8-2-4-3-1-3171,J,1,#6]" advise="1">
        <values>
          <value>
            <val>0</val>
          </value>
        </values>
      </ddeItem>
      <ddeItem name="@CTA[8-2-4-3-1-3171,J,2,#6]" advise="1">
        <values>
          <value>
            <val>0</val>
          </value>
        </values>
      </ddeItem>
      <ddeItem name="@CTA[8-2-4-3-1-3171,J,3,#6]" advise="1">
        <values>
          <value>
            <val>0</val>
          </value>
        </values>
      </ddeItem>
      <ddeItem name="@CTA[8-2-4-3-1-3171,J,4,#6]" advise="1">
        <values>
          <value>
            <val>0</val>
          </value>
        </values>
      </ddeItem>
      <ddeItem name="@CTA[8-2-4-3-1-3171,J,5,#6]" advise="1">
        <values>
          <value>
            <val>0</val>
          </value>
        </values>
      </ddeItem>
      <ddeItem name="@CTA[8-2-4-3-1-3171,J,6,#6]" advise="1">
        <values>
          <value>
            <val>0</val>
          </value>
        </values>
      </ddeItem>
      <ddeItem name="@CTA[8-2-4-3-1-3171,J,7,#6]" advise="1">
        <values>
          <value>
            <val>0</val>
          </value>
        </values>
      </ddeItem>
      <ddeItem name="@CTA[8-2-4-3-1-3171,J,8,#6]" advise="1">
        <values>
          <value>
            <val>0</val>
          </value>
        </values>
      </ddeItem>
      <ddeItem name="@CTA[8-2-4-3-1-3171,J,9,#6]" advise="1">
        <values>
          <value>
            <val>0</val>
          </value>
        </values>
      </ddeItem>
      <ddeItem name="@CTA[8-2-4-3-1-3181,J,1,#6]" advise="1">
        <values>
          <value>
            <val>0</val>
          </value>
        </values>
      </ddeItem>
      <ddeItem name="@CTA[8-2-4-3-1-3181,J,2,#6]" advise="1">
        <values>
          <value>
            <val>0</val>
          </value>
        </values>
      </ddeItem>
      <ddeItem name="@CTA[8-2-4-3-1-3181,J,3,#6]" advise="1">
        <values>
          <value t="nil">
            <val>1</val>
          </value>
        </values>
      </ddeItem>
      <ddeItem name="@CTA[8-2-4-3-1-3181,J,4,#6]" advise="1">
        <values>
          <value t="nil">
            <val>1</val>
          </value>
        </values>
      </ddeItem>
      <ddeItem name="@CTA[8-2-4-3-1-3181,J,5,#6]" advise="1">
        <values>
          <value t="nil">
            <val>1</val>
          </value>
        </values>
      </ddeItem>
      <ddeItem name="@CTA[8-2-4-3-1-3181,J,6,#6]" advise="1">
        <values>
          <value t="nil">
            <val>1</val>
          </value>
        </values>
      </ddeItem>
      <ddeItem name="@CTA[8-2-4-3-1-3181,J,7,#6]" advise="1">
        <values>
          <value t="nil">
            <val>1</val>
          </value>
        </values>
      </ddeItem>
      <ddeItem name="@CTA[8-2-4-3-1-3181,J,8,#6]" advise="1">
        <values>
          <value t="nil">
            <val>1</val>
          </value>
        </values>
      </ddeItem>
      <ddeItem name="@CTA[8-2-4-3-1-3181,J,9,#6]" advise="1">
        <values>
          <value t="nil">
            <val>1</val>
          </value>
        </values>
      </ddeItem>
      <ddeItem name="@CTA[8-2-4-3-1-3182,J,1,#6]" advise="1">
        <values>
          <value t="nil">
            <val>1</val>
          </value>
        </values>
      </ddeItem>
      <ddeItem name="@CTA[8-2-4-3-1-3182,J,2,#6]" advise="1">
        <values>
          <value t="nil">
            <val>1</val>
          </value>
        </values>
      </ddeItem>
      <ddeItem name="@CTA[8-2-4-3-1-3182,J,3,#6]" advise="1">
        <values>
          <value t="nil">
            <val>1</val>
          </value>
        </values>
      </ddeItem>
      <ddeItem name="@CTA[8-2-4-3-1-3182,J,4,#6]" advise="1">
        <values>
          <value t="nil">
            <val>1</val>
          </value>
        </values>
      </ddeItem>
      <ddeItem name="@CTA[8-2-4-3-1-3182,J,5,#6]" advise="1">
        <values>
          <value t="nil">
            <val>1</val>
          </value>
        </values>
      </ddeItem>
      <ddeItem name="@CTA[8-2-4-3-1-3182,J,6,#6]" advise="1">
        <values>
          <value t="nil">
            <val>1</val>
          </value>
        </values>
      </ddeItem>
      <ddeItem name="@CTA[8-2-4-3-1-3182,J,7,#6]" advise="1">
        <values>
          <value t="nil">
            <val>1</val>
          </value>
        </values>
      </ddeItem>
      <ddeItem name="@CTA[8-2-4-3-1-3182,J,8,#6]" advise="1">
        <values>
          <value t="nil">
            <val>1</val>
          </value>
        </values>
      </ddeItem>
      <ddeItem name="@CTA[8-2-4-3-1-3182,J,9,#6]" advise="1">
        <values>
          <value t="nil">
            <val>1</val>
          </value>
        </values>
      </ddeItem>
      <ddeItem name="@CTA[8-2-4-3-2-3211,J,1,#6]" advise="1">
        <values>
          <value>
            <val>0</val>
          </value>
        </values>
      </ddeItem>
      <ddeItem name="@CTA[8-2-4-3-2-3211,J,2,#6]" advise="1">
        <values>
          <value t="nil">
            <val>1</val>
          </value>
        </values>
      </ddeItem>
      <ddeItem name="@CTA[8-2-4-3-2-3211,J,3,#6]" advise="1">
        <values>
          <value t="nil">
            <val>1</val>
          </value>
        </values>
      </ddeItem>
      <ddeItem name="@CTA[8-2-4-3-2-3211,J,4,#6]" advise="1">
        <values>
          <value t="nil">
            <val>1</val>
          </value>
        </values>
      </ddeItem>
      <ddeItem name="@CTA[8-2-4-3-2-3211,J,5,#6]" advise="1">
        <values>
          <value t="nil">
            <val>1</val>
          </value>
        </values>
      </ddeItem>
      <ddeItem name="@CTA[8-2-4-3-2-3211,J,6,#6]" advise="1">
        <values>
          <value t="nil">
            <val>1</val>
          </value>
        </values>
      </ddeItem>
      <ddeItem name="@CTA[8-2-4-3-2-3211,J,7,#6]" advise="1">
        <values>
          <value t="nil">
            <val>1</val>
          </value>
        </values>
      </ddeItem>
      <ddeItem name="@CTA[8-2-4-3-2-3211,J,8,#6]" advise="1">
        <values>
          <value t="nil">
            <val>1</val>
          </value>
        </values>
      </ddeItem>
      <ddeItem name="@CTA[8-2-4-3-2-3211,J,9,#6]" advise="1">
        <values>
          <value t="nil">
            <val>1</val>
          </value>
        </values>
      </ddeItem>
      <ddeItem name="@CTA[8-2-4-3-2-3231,J,1,#6]" advise="1">
        <values>
          <value>
            <val>48</val>
          </value>
        </values>
      </ddeItem>
      <ddeItem name="@CTA[8-2-4-3-2-3231,J,2,#6]" advise="1">
        <values>
          <value>
            <val>0</val>
          </value>
        </values>
      </ddeItem>
      <ddeItem name="@CTA[8-2-4-3-2-3231,J,3,#6]" advise="1">
        <values>
          <value>
            <val>0</val>
          </value>
        </values>
      </ddeItem>
      <ddeItem name="@CTA[8-2-4-3-2-3231,J,4,#6]" advise="1">
        <values>
          <value>
            <val>0</val>
          </value>
        </values>
      </ddeItem>
      <ddeItem name="@CTA[8-2-4-3-2-3231,J,5,#6]" advise="1">
        <values>
          <value>
            <val>0</val>
          </value>
        </values>
      </ddeItem>
      <ddeItem name="@CTA[8-2-4-3-2-3231,J,6,#6]" advise="1">
        <values>
          <value>
            <val>0</val>
          </value>
        </values>
      </ddeItem>
      <ddeItem name="@CTA[8-2-4-3-2-3231,J,7,#6]" advise="1">
        <values>
          <value>
            <val>0</val>
          </value>
        </values>
      </ddeItem>
      <ddeItem name="@CTA[8-2-4-3-2-3231,J,8,#6]" advise="1">
        <values>
          <value>
            <val>0</val>
          </value>
        </values>
      </ddeItem>
      <ddeItem name="@CTA[8-2-4-3-2-3231,J,9,#6]" advise="1">
        <values>
          <value>
            <val>905.21000000000015</val>
          </value>
        </values>
      </ddeItem>
      <ddeItem name="@CTA[8-2-4-3-2-3261,J,1,#6]" advise="1">
        <values>
          <value t="nil">
            <val>1</val>
          </value>
        </values>
      </ddeItem>
      <ddeItem name="@CTA[8-2-4-3-2-3261,J,2,#6]" advise="1">
        <values>
          <value t="nil">
            <val>1</val>
          </value>
        </values>
      </ddeItem>
      <ddeItem name="@CTA[8-2-4-3-2-3261,J,3,#6]" advise="1">
        <values>
          <value t="nil">
            <val>1</val>
          </value>
        </values>
      </ddeItem>
      <ddeItem name="@CTA[8-2-4-3-2-3261,J,4,#6]" advise="1">
        <values>
          <value t="nil">
            <val>1</val>
          </value>
        </values>
      </ddeItem>
      <ddeItem name="@CTA[8-2-4-3-2-3261,J,5,#6]" advise="1">
        <values>
          <value t="nil">
            <val>1</val>
          </value>
        </values>
      </ddeItem>
      <ddeItem name="@CTA[8-2-4-3-2-3261,J,6,#6]" advise="1">
        <values>
          <value t="nil">
            <val>1</val>
          </value>
        </values>
      </ddeItem>
      <ddeItem name="@CTA[8-2-4-3-2-3261,J,7,#6]" advise="1">
        <values>
          <value t="nil">
            <val>1</val>
          </value>
        </values>
      </ddeItem>
      <ddeItem name="@CTA[8-2-4-3-2-3261,J,8,#6]" advise="1">
        <values>
          <value t="nil">
            <val>1</val>
          </value>
        </values>
      </ddeItem>
      <ddeItem name="@CTA[8-2-4-3-2-3261,J,9,#6]" advise="1">
        <values>
          <value t="nil">
            <val>1</val>
          </value>
        </values>
      </ddeItem>
      <ddeItem name="@CTA[8-2-4-3-2-3291,J,1,#6]" advise="1">
        <values>
          <value t="nil">
            <val>1</val>
          </value>
        </values>
      </ddeItem>
      <ddeItem name="@CTA[8-2-4-3-2-3291,J,2,#6]" advise="1">
        <values>
          <value t="nil">
            <val>1</val>
          </value>
        </values>
      </ddeItem>
      <ddeItem name="@CTA[8-2-4-3-2-3291,J,3,#6]" advise="1">
        <values>
          <value t="nil">
            <val>1</val>
          </value>
        </values>
      </ddeItem>
      <ddeItem name="@CTA[8-2-4-3-2-3291,J,4,#6]" advise="1">
        <values>
          <value t="nil">
            <val>1</val>
          </value>
        </values>
      </ddeItem>
      <ddeItem name="@CTA[8-2-4-3-2-3291,J,5,#6]" advise="1">
        <values>
          <value t="nil">
            <val>1</val>
          </value>
        </values>
      </ddeItem>
      <ddeItem name="@CTA[8-2-4-3-2-3291,J,6,#6]" advise="1">
        <values>
          <value t="nil">
            <val>1</val>
          </value>
        </values>
      </ddeItem>
      <ddeItem name="@CTA[8-2-4-3-2-3291,J,7,#6]" advise="1">
        <values>
          <value t="nil">
            <val>1</val>
          </value>
        </values>
      </ddeItem>
      <ddeItem name="@CTA[8-2-4-3-2-3291,J,8,#6]" advise="1">
        <values>
          <value>
            <val>0</val>
          </value>
        </values>
      </ddeItem>
      <ddeItem name="@CTA[8-2-4-3-2-3291,J,9,#6]" advise="1">
        <values>
          <value t="nil">
            <val>1</val>
          </value>
        </values>
      </ddeItem>
      <ddeItem name="@CTA[8-2-4-3-3-3311,J,1,#6]" advise="1">
        <values>
          <value>
            <val>1142.8599999999999</val>
          </value>
        </values>
      </ddeItem>
      <ddeItem name="@CTA[8-2-4-3-3-3311,J,2,#6]" advise="1">
        <values>
          <value>
            <val>542462.97</val>
          </value>
        </values>
      </ddeItem>
      <ddeItem name="@CTA[8-2-4-3-3-3311,J,3,#6]" advise="1">
        <values>
          <value t="nil">
            <val>1</val>
          </value>
        </values>
      </ddeItem>
      <ddeItem name="@CTA[8-2-4-3-3-3311,J,4,#6]" advise="1">
        <values>
          <value>
            <val>0</val>
          </value>
        </values>
      </ddeItem>
      <ddeItem name="@CTA[8-2-4-3-3-3311,J,5,#6]" advise="1">
        <values>
          <value t="nil">
            <val>1</val>
          </value>
        </values>
      </ddeItem>
      <ddeItem name="@CTA[8-2-4-3-3-3311,J,6,#6]" advise="1">
        <values>
          <value t="nil">
            <val>1</val>
          </value>
        </values>
      </ddeItem>
      <ddeItem name="@CTA[8-2-4-3-3-3311,J,7,#6]" advise="1">
        <values>
          <value t="nil">
            <val>1</val>
          </value>
        </values>
      </ddeItem>
      <ddeItem name="@CTA[8-2-4-3-3-3311,J,8,#6]" advise="1">
        <values>
          <value t="nil">
            <val>1</val>
          </value>
        </values>
      </ddeItem>
      <ddeItem name="@CTA[8-2-4-3-3-3311,J,9,#6]" advise="1">
        <values>
          <value>
            <val>2285.7199999999998</val>
          </value>
        </values>
      </ddeItem>
      <ddeItem name="@CTA[8-2-4-3-3-3331,J,1,#6]" advise="1">
        <values>
          <value t="nil">
            <val>1</val>
          </value>
        </values>
      </ddeItem>
      <ddeItem name="@CTA[8-2-4-3-3-3331,J,2,#6]" advise="1">
        <values>
          <value t="nil">
            <val>1</val>
          </value>
        </values>
      </ddeItem>
      <ddeItem name="@CTA[8-2-4-3-3-3331,J,3,#6]" advise="1">
        <values>
          <value t="nil">
            <val>1</val>
          </value>
        </values>
      </ddeItem>
      <ddeItem name="@CTA[8-2-4-3-3-3331,J,4,#6]" advise="1">
        <values>
          <value t="nil">
            <val>1</val>
          </value>
        </values>
      </ddeItem>
      <ddeItem name="@CTA[8-2-4-3-3-3331,J,5,#6]" advise="1">
        <values>
          <value t="nil">
            <val>1</val>
          </value>
        </values>
      </ddeItem>
      <ddeItem name="@CTA[8-2-4-3-3-3331,J,6,#6]" advise="1">
        <values>
          <value t="nil">
            <val>1</val>
          </value>
        </values>
      </ddeItem>
      <ddeItem name="@CTA[8-2-4-3-3-3331,J,7,#6]" advise="1">
        <values>
          <value t="nil">
            <val>1</val>
          </value>
        </values>
      </ddeItem>
      <ddeItem name="@CTA[8-2-4-3-3-3331,J,8,#6]" advise="1">
        <values>
          <value t="nil">
            <val>1</val>
          </value>
        </values>
      </ddeItem>
      <ddeItem name="@CTA[8-2-4-3-3-3331,J,9,#6]" advise="1">
        <values>
          <value t="nil">
            <val>1</val>
          </value>
        </values>
      </ddeItem>
      <ddeItem name="@CTA[8-2-4-3-3-3332,J,1,#6]" advise="1">
        <values>
          <value>
            <val>0</val>
          </value>
        </values>
      </ddeItem>
      <ddeItem name="@CTA[8-2-4-3-3-3332,J,2,#6]" advise="1">
        <values>
          <value>
            <val>0</val>
          </value>
        </values>
      </ddeItem>
      <ddeItem name="@CTA[8-2-4-3-3-3332,J,3,#6]" advise="1">
        <values>
          <value t="nil">
            <val>1</val>
          </value>
        </values>
      </ddeItem>
      <ddeItem name="@CTA[8-2-4-3-3-3332,J,4,#6]" advise="1">
        <values>
          <value t="nil">
            <val>1</val>
          </value>
        </values>
      </ddeItem>
      <ddeItem name="@CTA[8-2-4-3-3-3332,J,5,#6]" advise="1">
        <values>
          <value>
            <val>0</val>
          </value>
        </values>
      </ddeItem>
      <ddeItem name="@CTA[8-2-4-3-3-3332,J,6,#6]" advise="1">
        <values>
          <value>
            <val>0</val>
          </value>
        </values>
      </ddeItem>
      <ddeItem name="@CTA[8-2-4-3-3-3332,J,7,#6]" advise="1">
        <values>
          <value>
            <val>0</val>
          </value>
        </values>
      </ddeItem>
      <ddeItem name="@CTA[8-2-4-3-3-3332,J,8,#6]" advise="1">
        <values>
          <value t="nil">
            <val>1</val>
          </value>
        </values>
      </ddeItem>
      <ddeItem name="@CTA[8-2-4-3-3-3332,J,9,#6]" advise="1">
        <values>
          <value>
            <val>74413.72</val>
          </value>
        </values>
      </ddeItem>
      <ddeItem name="@CTA[8-2-4-3-3-3341,J,1,#6]" advise="1">
        <values>
          <value>
            <val>0</val>
          </value>
        </values>
      </ddeItem>
      <ddeItem name="@CTA[8-2-4-3-3-3341,J,2,#6]" advise="1">
        <values>
          <value>
            <val>0</val>
          </value>
        </values>
      </ddeItem>
      <ddeItem name="@CTA[8-2-4-3-3-3341,J,3,#6]" advise="1">
        <values>
          <value>
            <val>16297.6</val>
          </value>
        </values>
      </ddeItem>
      <ddeItem name="@CTA[8-2-4-3-3-3341,J,4,#6]" advise="1">
        <values>
          <value>
            <val>0</val>
          </value>
        </values>
      </ddeItem>
      <ddeItem name="@CTA[8-2-4-3-3-3341,J,5,#6]" advise="1">
        <values>
          <value>
            <val>0</val>
          </value>
        </values>
      </ddeItem>
      <ddeItem name="@CTA[8-2-4-3-3-3341,J,6,#6]" advise="1">
        <values>
          <value>
            <val>0</val>
          </value>
        </values>
      </ddeItem>
      <ddeItem name="@CTA[8-2-4-3-3-3341,J,7,#6]" advise="1">
        <values>
          <value t="nil">
            <val>1</val>
          </value>
        </values>
      </ddeItem>
      <ddeItem name="@CTA[8-2-4-3-3-3341,J,8,#6]" advise="1">
        <values>
          <value>
            <val>0</val>
          </value>
        </values>
      </ddeItem>
      <ddeItem name="@CTA[8-2-4-3-3-3341,J,9,#6]" advise="1">
        <values>
          <value t="nil">
            <val>1</val>
          </value>
        </values>
      </ddeItem>
      <ddeItem name="@CTA[8-2-4-3-3-3381,J,1,#6]" advise="1">
        <values>
          <value t="nil">
            <val>1</val>
          </value>
        </values>
      </ddeItem>
      <ddeItem name="@CTA[8-2-4-3-3-3381,J,2,#6]" advise="1">
        <values>
          <value t="nil">
            <val>1</val>
          </value>
        </values>
      </ddeItem>
      <ddeItem name="@CTA[8-2-4-3-3-3381,J,3,#6]" advise="1">
        <values>
          <value t="nil">
            <val>1</val>
          </value>
        </values>
      </ddeItem>
      <ddeItem name="@CTA[8-2-4-3-3-3381,J,4,#6]" advise="1">
        <values>
          <value t="nil">
            <val>1</val>
          </value>
        </values>
      </ddeItem>
      <ddeItem name="@CTA[8-2-4-3-3-3381,J,5,#6]" advise="1">
        <values>
          <value t="nil">
            <val>1</val>
          </value>
        </values>
      </ddeItem>
      <ddeItem name="@CTA[8-2-4-3-3-3381,J,6,#6]" advise="1">
        <values>
          <value t="nil">
            <val>1</val>
          </value>
        </values>
      </ddeItem>
      <ddeItem name="@CTA[8-2-4-3-3-3381,J,7,#6]" advise="1">
        <values>
          <value t="nil">
            <val>1</val>
          </value>
        </values>
      </ddeItem>
      <ddeItem name="@CTA[8-2-4-3-3-3381,J,8,#6]" advise="1">
        <values>
          <value t="nil">
            <val>1</val>
          </value>
        </values>
      </ddeItem>
      <ddeItem name="@CTA[8-2-4-3-3-3381,J,9,#6]" advise="1">
        <values>
          <value t="nil">
            <val>1</val>
          </value>
        </values>
      </ddeItem>
      <ddeItem name="@CTA[8-2-4-3-3-3391,J,1,#6]" advise="1">
        <values>
          <value>
            <val>0</val>
          </value>
        </values>
      </ddeItem>
      <ddeItem name="@CTA[8-2-4-3-3-3391,J,2,#6]" advise="1">
        <values>
          <value t="nil">
            <val>1</val>
          </value>
        </values>
      </ddeItem>
      <ddeItem name="@CTA[8-2-4-3-3-3391,J,3,#6]" advise="1">
        <values>
          <value t="nil">
            <val>1</val>
          </value>
        </values>
      </ddeItem>
      <ddeItem name="@CTA[8-2-4-3-3-3391,J,4,#6]" advise="1">
        <values>
          <value t="nil">
            <val>1</val>
          </value>
        </values>
      </ddeItem>
      <ddeItem name="@CTA[8-2-4-3-3-3391,J,5,#6]" advise="1">
        <values>
          <value t="nil">
            <val>1</val>
          </value>
        </values>
      </ddeItem>
      <ddeItem name="@CTA[8-2-4-3-3-3391,J,6,#6]" advise="1">
        <values>
          <value t="nil">
            <val>1</val>
          </value>
        </values>
      </ddeItem>
      <ddeItem name="@CTA[8-2-4-3-3-3391,J,7,#6]" advise="1">
        <values>
          <value>
            <val>91494</val>
          </value>
        </values>
      </ddeItem>
      <ddeItem name="@CTA[8-2-4-3-3-3391,J,8,#6]" advise="1">
        <values>
          <value t="nil">
            <val>1</val>
          </value>
        </values>
      </ddeItem>
      <ddeItem name="@CTA[8-2-4-3-3-3391,J,9,#6]" advise="1">
        <values>
          <value t="nil">
            <val>1</val>
          </value>
        </values>
      </ddeItem>
      <ddeItem name="@CTA[8-2-4-3-4-3411,J,1,#6]" advise="1">
        <values>
          <value>
            <val>0</val>
          </value>
        </values>
      </ddeItem>
      <ddeItem name="@CTA[8-2-4-3-4-3411,J,2,#6]" advise="1">
        <values>
          <value t="nil">
            <val>1</val>
          </value>
        </values>
      </ddeItem>
      <ddeItem name="@CTA[8-2-4-3-4-3411,J,3,#6]" advise="1">
        <values>
          <value t="nil">
            <val>1</val>
          </value>
        </values>
      </ddeItem>
      <ddeItem name="@CTA[8-2-4-3-4-3411,J,4,#6]" advise="1">
        <values>
          <value>
            <val>13354.240000000002</val>
          </value>
        </values>
      </ddeItem>
      <ddeItem name="@CTA[8-2-4-3-4-3411,J,5,#6]" advise="1">
        <values>
          <value t="nil">
            <val>1</val>
          </value>
        </values>
      </ddeItem>
      <ddeItem name="@CTA[8-2-4-3-4-3411,J,6,#6]" advise="1">
        <values>
          <value t="nil">
            <val>1</val>
          </value>
        </values>
      </ddeItem>
      <ddeItem name="@CTA[8-2-4-3-4-3411,J,7,#6]" advise="1">
        <values>
          <value t="nil">
            <val>1</val>
          </value>
        </values>
      </ddeItem>
      <ddeItem name="@CTA[8-2-4-3-4-3411,J,8,#6]" advise="1">
        <values>
          <value t="nil">
            <val>1</val>
          </value>
        </values>
      </ddeItem>
      <ddeItem name="@CTA[8-2-4-3-4-3411,J,9,#6]" advise="1">
        <values>
          <value t="nil">
            <val>1</val>
          </value>
        </values>
      </ddeItem>
      <ddeItem name="@CTA[8-2-4-3-4-3431,J,1,#6]" advise="1">
        <values>
          <value t="nil">
            <val>1</val>
          </value>
        </values>
      </ddeItem>
      <ddeItem name="@CTA[8-2-4-3-4-3431,J,2,#6]" advise="1">
        <values>
          <value t="nil">
            <val>1</val>
          </value>
        </values>
      </ddeItem>
      <ddeItem name="@CTA[8-2-4-3-4-3431,J,3,#6]" advise="1">
        <values>
          <value t="nil">
            <val>1</val>
          </value>
        </values>
      </ddeItem>
      <ddeItem name="@CTA[8-2-4-3-4-3431,J,4,#6]" advise="1">
        <values>
          <value>
            <val>49617.99</val>
          </value>
        </values>
      </ddeItem>
      <ddeItem name="@CTA[8-2-4-3-4-3431,J,5,#6]" advise="1">
        <values>
          <value t="nil">
            <val>1</val>
          </value>
        </values>
      </ddeItem>
      <ddeItem name="@CTA[8-2-4-3-4-3431,J,6,#6]" advise="1">
        <values>
          <value t="nil">
            <val>1</val>
          </value>
        </values>
      </ddeItem>
      <ddeItem name="@CTA[8-2-4-3-4-3431,J,7,#6]" advise="1">
        <values>
          <value t="nil">
            <val>1</val>
          </value>
        </values>
      </ddeItem>
      <ddeItem name="@CTA[8-2-4-3-4-3431,J,8,#6]" advise="1">
        <values>
          <value t="nil">
            <val>1</val>
          </value>
        </values>
      </ddeItem>
      <ddeItem name="@CTA[8-2-4-3-4-3431,J,9,#6]" advise="1">
        <values>
          <value t="nil">
            <val>1</val>
          </value>
        </values>
      </ddeItem>
      <ddeItem name="@CTA[8-2-4-3-4-3451,J,1,#6]" advise="1">
        <values>
          <value>
            <val>24215.22</val>
          </value>
        </values>
      </ddeItem>
      <ddeItem name="@CTA[8-2-4-3-4-3451,J,2,#6]" advise="1">
        <values>
          <value>
            <val>1166.1299999999999</val>
          </value>
        </values>
      </ddeItem>
      <ddeItem name="@CTA[8-2-4-3-4-3451,J,3,#6]" advise="1">
        <values>
          <value>
            <val>451.29</val>
          </value>
        </values>
      </ddeItem>
      <ddeItem name="@CTA[8-2-4-3-4-3451,J,4,#6]" advise="1">
        <values>
          <value>
            <val>210.60000000000002</val>
          </value>
        </values>
      </ddeItem>
      <ddeItem name="@CTA[8-2-4-3-4-3451,J,5,#6]" advise="1">
        <values>
          <value>
            <val>4044.99</val>
          </value>
        </values>
      </ddeItem>
      <ddeItem name="@CTA[8-2-4-3-4-3451,J,6,#6]" advise="1">
        <values>
          <value>
            <val>60.179999999999993</val>
          </value>
        </values>
      </ddeItem>
      <ddeItem name="@CTA[8-2-4-3-4-3451,J,7,#6]" advise="1">
        <values>
          <value>
            <val>9076.7100000000009</val>
          </value>
        </values>
      </ddeItem>
      <ddeItem name="@CTA[8-2-4-3-4-3451,J,8,#6]" advise="1">
        <values>
          <value>
            <val>1143.4499999999998</val>
          </value>
        </values>
      </ddeItem>
      <ddeItem name="@CTA[8-2-4-3-4-3451,J,9,#6]" advise="1">
        <values>
          <value>
            <val>60.179999999999993</val>
          </value>
        </values>
      </ddeItem>
      <ddeItem name="@CTA[8-2-4-3-4-3471,J,1,#6]" advise="1">
        <values>
          <value>
            <val>0</val>
          </value>
        </values>
      </ddeItem>
      <ddeItem name="@CTA[8-2-4-3-4-3471,J,2,#6]" advise="1">
        <values>
          <value>
            <val>13.79</val>
          </value>
        </values>
      </ddeItem>
      <ddeItem name="@CTA[8-2-4-3-4-3471,J,3,#6]" advise="1">
        <values>
          <value>
            <val>0</val>
          </value>
        </values>
      </ddeItem>
      <ddeItem name="@CTA[8-2-4-3-4-3471,J,4,#6]" advise="1">
        <values>
          <value>
            <val>0</val>
          </value>
        </values>
      </ddeItem>
      <ddeItem name="@CTA[8-2-4-3-4-3471,J,5,#6]" advise="1">
        <values>
          <value>
            <val>0</val>
          </value>
        </values>
      </ddeItem>
      <ddeItem name="@CTA[8-2-4-3-4-3471,J,6,#6]" advise="1">
        <values>
          <value>
            <val>467.73</val>
          </value>
        </values>
      </ddeItem>
      <ddeItem name="@CTA[8-2-4-3-4-3471,J,7,#6]" advise="1">
        <values>
          <value>
            <val>0</val>
          </value>
        </values>
      </ddeItem>
      <ddeItem name="@CTA[8-2-4-3-4-3471,J,8,#6]" advise="1">
        <values>
          <value>
            <val>275.14999999999998</val>
          </value>
        </values>
      </ddeItem>
      <ddeItem name="@CTA[8-2-4-3-4-3471,J,9,#6]" advise="1">
        <values>
          <value>
            <val>0</val>
          </value>
        </values>
      </ddeItem>
      <ddeItem name="@CTA[8-2-4-3-4-3491,J,1,#6]" advise="1">
        <values>
          <value>
            <val>1700.79</val>
          </value>
        </values>
      </ddeItem>
      <ddeItem name="@CTA[8-2-4-3-4-3491,J,2,#6]" advise="1">
        <values>
          <value>
            <val>319.26</val>
          </value>
        </values>
      </ddeItem>
      <ddeItem name="@CTA[8-2-4-3-4-3491,J,3,#6]" advise="1">
        <values>
          <value>
            <val>568.73</val>
          </value>
        </values>
      </ddeItem>
      <ddeItem name="@CTA[8-2-4-3-4-3491,J,4,#6]" advise="1">
        <values>
          <value>
            <val>420.54</val>
          </value>
        </values>
      </ddeItem>
      <ddeItem name="@CTA[8-2-4-3-4-3491,J,5,#6]" advise="1">
        <values>
          <value>
            <val>559.54</val>
          </value>
        </values>
      </ddeItem>
      <ddeItem name="@CTA[8-2-4-3-4-3491,J,6,#6]" advise="1">
        <values>
          <value>
            <val>166.23</val>
          </value>
        </values>
      </ddeItem>
      <ddeItem name="@CTA[8-2-4-3-4-3491,J,7,#6]" advise="1">
        <values>
          <value>
            <val>511.49</val>
          </value>
        </values>
      </ddeItem>
      <ddeItem name="@CTA[8-2-4-3-4-3491,J,8,#6]" advise="1">
        <values>
          <value>
            <val>151.02000000000001</val>
          </value>
        </values>
      </ddeItem>
      <ddeItem name="@CTA[8-2-4-3-4-3491,J,9,#6]" advise="1">
        <values>
          <value>
            <val>343.64</val>
          </value>
        </values>
      </ddeItem>
      <ddeItem name="@CTA[8-2-4-3-5-3511,J,1,#6]" advise="1">
        <values>
          <value>
            <val>0</val>
          </value>
        </values>
      </ddeItem>
      <ddeItem name="@CTA[8-2-4-3-5-3511,J,2,#6]" advise="1">
        <values>
          <value>
            <val>0</val>
          </value>
        </values>
      </ddeItem>
      <ddeItem name="@CTA[8-2-4-3-5-3511,J,3,#6]" advise="1">
        <values>
          <value>
            <val>0</val>
          </value>
        </values>
      </ddeItem>
      <ddeItem name="@CTA[8-2-4-3-5-3511,J,4,#6]" advise="1">
        <values>
          <value>
            <val>0</val>
          </value>
        </values>
      </ddeItem>
      <ddeItem name="@CTA[8-2-4-3-5-3511,J,5,#6]" advise="1">
        <values>
          <value>
            <val>0</val>
          </value>
        </values>
      </ddeItem>
      <ddeItem name="@CTA[8-2-4-3-5-3511,J,6,#6]" advise="1">
        <values>
          <value t="nil">
            <val>1</val>
          </value>
        </values>
      </ddeItem>
      <ddeItem name="@CTA[8-2-4-3-5-3511,J,7,#6]" advise="1">
        <values>
          <value>
            <val>0</val>
          </value>
        </values>
      </ddeItem>
      <ddeItem name="@CTA[8-2-4-3-5-3511,J,8,#6]" advise="1">
        <values>
          <value t="nil">
            <val>1</val>
          </value>
        </values>
      </ddeItem>
      <ddeItem name="@CTA[8-2-4-3-5-3511,J,9,#6]" advise="1">
        <values>
          <value t="nil">
            <val>1</val>
          </value>
        </values>
      </ddeItem>
      <ddeItem name="@CTA[8-2-4-3-5-3521,J,1,#6]" advise="1">
        <values>
          <value t="nil">
            <val>1</val>
          </value>
        </values>
      </ddeItem>
      <ddeItem name="@CTA[8-2-4-3-5-3521,J,2,#6]" advise="1">
        <values>
          <value t="nil">
            <val>1</val>
          </value>
        </values>
      </ddeItem>
      <ddeItem name="@CTA[8-2-4-3-5-3521,J,3,#6]" advise="1">
        <values>
          <value t="nil">
            <val>1</val>
          </value>
        </values>
      </ddeItem>
      <ddeItem name="@CTA[8-2-4-3-5-3521,J,4,#6]" advise="1">
        <values>
          <value t="nil">
            <val>1</val>
          </value>
        </values>
      </ddeItem>
      <ddeItem name="@CTA[8-2-4-3-5-3521,J,5,#6]" advise="1">
        <values>
          <value t="nil">
            <val>1</val>
          </value>
        </values>
      </ddeItem>
      <ddeItem name="@CTA[8-2-4-3-5-3521,J,6,#6]" advise="1">
        <values>
          <value t="nil">
            <val>1</val>
          </value>
        </values>
      </ddeItem>
      <ddeItem name="@CTA[8-2-4-3-5-3521,J,7,#6]" advise="1">
        <values>
          <value t="nil">
            <val>1</val>
          </value>
        </values>
      </ddeItem>
      <ddeItem name="@CTA[8-2-4-3-5-3521,J,8,#6]" advise="1">
        <values>
          <value t="nil">
            <val>1</val>
          </value>
        </values>
      </ddeItem>
      <ddeItem name="@CTA[8-2-4-3-5-3521,J,9,#6]" advise="1">
        <values>
          <value t="nil">
            <val>1</val>
          </value>
        </values>
      </ddeItem>
      <ddeItem name="@CTA[8-2-4-3-5-3531,J,1,#6]" advise="1">
        <values>
          <value t="nil">
            <val>1</val>
          </value>
        </values>
      </ddeItem>
      <ddeItem name="@CTA[8-2-4-3-5-3531,J,2,#6]" advise="1">
        <values>
          <value t="nil">
            <val>1</val>
          </value>
        </values>
      </ddeItem>
      <ddeItem name="@CTA[8-2-4-3-5-3531,J,3,#6]" advise="1">
        <values>
          <value t="nil">
            <val>1</val>
          </value>
        </values>
      </ddeItem>
      <ddeItem name="@CTA[8-2-4-3-5-3531,J,4,#6]" advise="1">
        <values>
          <value t="nil">
            <val>1</val>
          </value>
        </values>
      </ddeItem>
      <ddeItem name="@CTA[8-2-4-3-5-3531,J,5,#6]" advise="1">
        <values>
          <value>
            <val>0</val>
          </value>
        </values>
      </ddeItem>
      <ddeItem name="@CTA[8-2-4-3-5-3531,J,6,#6]" advise="1">
        <values>
          <value>
            <val>0</val>
          </value>
        </values>
      </ddeItem>
      <ddeItem name="@CTA[8-2-4-3-5-3531,J,7,#6]" advise="1">
        <values>
          <value t="nil">
            <val>1</val>
          </value>
        </values>
      </ddeItem>
      <ddeItem name="@CTA[8-2-4-3-5-3531,J,8,#6]" advise="1">
        <values>
          <value t="nil">
            <val>1</val>
          </value>
        </values>
      </ddeItem>
      <ddeItem name="@CTA[8-2-4-3-5-3531,J,9,#6]" advise="1">
        <values>
          <value t="nil">
            <val>1</val>
          </value>
        </values>
      </ddeItem>
      <ddeItem name="@CTA[8-2-4-3-5-3551,J,1,#6]" advise="1">
        <values>
          <value>
            <val>59101.53</val>
          </value>
        </values>
      </ddeItem>
      <ddeItem name="@CTA[8-2-4-3-5-3551,J,2,#6]" advise="1">
        <values>
          <value>
            <val>979.31999999999994</val>
          </value>
        </values>
      </ddeItem>
      <ddeItem name="@CTA[8-2-4-3-5-3551,J,3,#6]" advise="1">
        <values>
          <value t="nil">
            <val>1</val>
          </value>
        </values>
      </ddeItem>
      <ddeItem name="@CTA[8-2-4-3-5-3551,J,4,#6]" advise="1">
        <values>
          <value>
            <val>0</val>
          </value>
        </values>
      </ddeItem>
      <ddeItem name="@CTA[8-2-4-3-5-3551,J,5,#6]" advise="1">
        <values>
          <value>
            <val>59.05</val>
          </value>
        </values>
      </ddeItem>
      <ddeItem name="@CTA[8-2-4-3-5-3551,J,6,#6]" advise="1">
        <values>
          <value t="nil">
            <val>1</val>
          </value>
        </values>
      </ddeItem>
      <ddeItem name="@CTA[8-2-4-3-5-3551,J,7,#6]" advise="1">
        <values>
          <value>
            <val>5828.78</val>
          </value>
        </values>
      </ddeItem>
      <ddeItem name="@CTA[8-2-4-3-5-3551,J,8,#6]" advise="1">
        <values>
          <value>
            <val>9312.07</val>
          </value>
        </values>
      </ddeItem>
      <ddeItem name="@CTA[8-2-4-3-5-3551,J,9,#6]" advise="1">
        <values>
          <value>
            <val>1863.62</val>
          </value>
        </values>
      </ddeItem>
      <ddeItem name="@CTA[8-2-4-3-5-3571,J,1,#6]" advise="1">
        <values>
          <value>
            <val>580347.06000000006</val>
          </value>
        </values>
      </ddeItem>
      <ddeItem name="@CTA[8-2-4-3-5-3571,J,2,#6]" advise="1">
        <values>
          <value t="nil">
            <val>1</val>
          </value>
        </values>
      </ddeItem>
      <ddeItem name="@CTA[8-2-4-3-5-3571,J,3,#6]" advise="1">
        <values>
          <value>
            <val>0</val>
          </value>
        </values>
      </ddeItem>
      <ddeItem name="@CTA[8-2-4-3-5-3571,J,4,#6]" advise="1">
        <values>
          <value>
            <val>0</val>
          </value>
        </values>
      </ddeItem>
      <ddeItem name="@CTA[8-2-4-3-5-3571,J,5,#6]" advise="1">
        <values>
          <value>
            <val>0</val>
          </value>
        </values>
      </ddeItem>
      <ddeItem name="@CTA[8-2-4-3-5-3571,J,6,#6]" advise="1">
        <values>
          <value>
            <val>0</val>
          </value>
        </values>
      </ddeItem>
      <ddeItem name="@CTA[8-2-4-3-5-3571,J,7,#6]" advise="1">
        <values>
          <value>
            <val>0</val>
          </value>
        </values>
      </ddeItem>
      <ddeItem name="@CTA[8-2-4-3-5-3571,J,8,#6]" advise="1">
        <values>
          <value>
            <val>0</val>
          </value>
        </values>
      </ddeItem>
      <ddeItem name="@CTA[8-2-4-3-5-3571,J,9,#6]" advise="1">
        <values>
          <value t="nil">
            <val>1</val>
          </value>
        </values>
      </ddeItem>
      <ddeItem name="@CTA[8-2-4-3-5-3572,J,1,#6]" advise="1">
        <values>
          <value t="nil">
            <val>1</val>
          </value>
        </values>
      </ddeItem>
      <ddeItem name="@CTA[8-2-4-3-5-3572,J,2,#6]" advise="1">
        <values>
          <value t="nil">
            <val>1</val>
          </value>
        </values>
      </ddeItem>
      <ddeItem name="@CTA[8-2-4-3-5-3572,J,3,#6]" advise="1">
        <values>
          <value t="nil">
            <val>1</val>
          </value>
        </values>
      </ddeItem>
      <ddeItem name="@CTA[8-2-4-3-5-3572,J,4,#6]" advise="1">
        <values>
          <value t="nil">
            <val>1</val>
          </value>
        </values>
      </ddeItem>
      <ddeItem name="@CTA[8-2-4-3-5-3572,J,5,#6]" advise="1">
        <values>
          <value t="nil">
            <val>1</val>
          </value>
        </values>
      </ddeItem>
      <ddeItem name="@CTA[8-2-4-3-5-3572,J,6,#6]" advise="1">
        <values>
          <value t="nil">
            <val>1</val>
          </value>
        </values>
      </ddeItem>
      <ddeItem name="@CTA[8-2-4-3-5-3572,J,7,#6]" advise="1">
        <values>
          <value>
            <val>42400</val>
          </value>
        </values>
      </ddeItem>
      <ddeItem name="@CTA[8-2-4-3-5-3572,J,8,#6]" advise="1">
        <values>
          <value t="nil">
            <val>1</val>
          </value>
        </values>
      </ddeItem>
      <ddeItem name="@CTA[8-2-4-3-5-3572,J,9,#6]" advise="1">
        <values>
          <value t="nil">
            <val>1</val>
          </value>
        </values>
      </ddeItem>
      <ddeItem name="@CTA[8-2-4-3-5-3573,J,1,#6]" advise="1">
        <values>
          <value t="nil">
            <val>1</val>
          </value>
        </values>
      </ddeItem>
      <ddeItem name="@CTA[8-2-4-3-5-3573,J,2,#6]" advise="1">
        <values>
          <value t="nil">
            <val>1</val>
          </value>
        </values>
      </ddeItem>
      <ddeItem name="@CTA[8-2-4-3-5-3573,J,3,#6]" advise="1">
        <values>
          <value t="nil">
            <val>1</val>
          </value>
        </values>
      </ddeItem>
      <ddeItem name="@CTA[8-2-4-3-5-3573,J,4,#6]" advise="1">
        <values>
          <value t="nil">
            <val>1</val>
          </value>
        </values>
      </ddeItem>
      <ddeItem name="@CTA[8-2-4-3-5-3573,J,5,#6]" advise="1">
        <values>
          <value t="nil">
            <val>1</val>
          </value>
        </values>
      </ddeItem>
      <ddeItem name="@CTA[8-2-4-3-5-3573,J,6,#6]" advise="1">
        <values>
          <value t="nil">
            <val>1</val>
          </value>
        </values>
      </ddeItem>
      <ddeItem name="@CTA[8-2-4-3-5-3573,J,7,#6]" advise="1">
        <values>
          <value>
            <val>165913.41</val>
          </value>
        </values>
      </ddeItem>
      <ddeItem name="@CTA[8-2-4-3-5-3573,J,8,#6]" advise="1">
        <values>
          <value t="nil">
            <val>1</val>
          </value>
        </values>
      </ddeItem>
      <ddeItem name="@CTA[8-2-4-3-5-3573,J,9,#6]" advise="1">
        <values>
          <value t="nil">
            <val>1</val>
          </value>
        </values>
      </ddeItem>
      <ddeItem name="@CTA[8-2-4-3-5-3574,J,1,#6]" advise="1">
        <values>
          <value t="nil">
            <val>1</val>
          </value>
        </values>
      </ddeItem>
      <ddeItem name="@CTA[8-2-4-3-5-3574,J,2,#6]" advise="1">
        <values>
          <value t="nil">
            <val>1</val>
          </value>
        </values>
      </ddeItem>
      <ddeItem name="@CTA[8-2-4-3-5-3574,J,3,#6]" advise="1">
        <values>
          <value t="nil">
            <val>1</val>
          </value>
        </values>
      </ddeItem>
      <ddeItem name="@CTA[8-2-4-3-5-3574,J,4,#6]" advise="1">
        <values>
          <value t="nil">
            <val>1</val>
          </value>
        </values>
      </ddeItem>
      <ddeItem name="@CTA[8-2-4-3-5-3574,J,5,#6]" advise="1">
        <values>
          <value t="nil">
            <val>1</val>
          </value>
        </values>
      </ddeItem>
      <ddeItem name="@CTA[8-2-4-3-5-3574,J,6,#6]" advise="1">
        <values>
          <value t="nil">
            <val>1</val>
          </value>
        </values>
      </ddeItem>
      <ddeItem name="@CTA[8-2-4-3-5-3574,J,7,#6]" advise="1">
        <values>
          <value>
            <val>45900</val>
          </value>
        </values>
      </ddeItem>
      <ddeItem name="@CTA[8-2-4-3-5-3574,J,8,#6]" advise="1">
        <values>
          <value t="nil">
            <val>1</val>
          </value>
        </values>
      </ddeItem>
      <ddeItem name="@CTA[8-2-4-3-5-3574,J,9,#6]" advise="1">
        <values>
          <value t="nil">
            <val>1</val>
          </value>
        </values>
      </ddeItem>
      <ddeItem name="@CTA[8-2-4-3-5-3575,J,1,#6]" advise="1">
        <values>
          <value t="nil">
            <val>1</val>
          </value>
        </values>
      </ddeItem>
      <ddeItem name="@CTA[8-2-4-3-5-3575,J,2,#6]" advise="1">
        <values>
          <value t="nil">
            <val>1</val>
          </value>
        </values>
      </ddeItem>
      <ddeItem name="@CTA[8-2-4-3-5-3575,J,3,#6]" advise="1">
        <values>
          <value t="nil">
            <val>1</val>
          </value>
        </values>
      </ddeItem>
      <ddeItem name="@CTA[8-2-4-3-5-3575,J,4,#6]" advise="1">
        <values>
          <value t="nil">
            <val>1</val>
          </value>
        </values>
      </ddeItem>
      <ddeItem name="@CTA[8-2-4-3-5-3575,J,5,#6]" advise="1">
        <values>
          <value t="nil">
            <val>1</val>
          </value>
        </values>
      </ddeItem>
      <ddeItem name="@CTA[8-2-4-3-5-3575,J,6,#6]" advise="1">
        <values>
          <value t="nil">
            <val>1</val>
          </value>
        </values>
      </ddeItem>
      <ddeItem name="@CTA[8-2-4-3-5-3575,J,7,#6]" advise="1">
        <values>
          <value>
            <val>55015</val>
          </value>
        </values>
      </ddeItem>
      <ddeItem name="@CTA[8-2-4-3-5-3575,J,8,#6]" advise="1">
        <values>
          <value t="nil">
            <val>1</val>
          </value>
        </values>
      </ddeItem>
      <ddeItem name="@CTA[8-2-4-3-5-3575,J,9,#6]" advise="1">
        <values>
          <value t="nil">
            <val>1</val>
          </value>
        </values>
      </ddeItem>
      <ddeItem name="@CTA[8-2-4-3-5-3576,J,1,#6]" advise="1">
        <values>
          <value t="nil">
            <val>1</val>
          </value>
        </values>
      </ddeItem>
      <ddeItem name="@CTA[8-2-4-3-5-3576,J,2,#6]" advise="1">
        <values>
          <value t="nil">
            <val>1</val>
          </value>
        </values>
      </ddeItem>
      <ddeItem name="@CTA[8-2-4-3-5-3576,J,3,#6]" advise="1">
        <values>
          <value t="nil">
            <val>1</val>
          </value>
        </values>
      </ddeItem>
      <ddeItem name="@CTA[8-2-4-3-5-3576,J,4,#6]" advise="1">
        <values>
          <value t="nil">
            <val>1</val>
          </value>
        </values>
      </ddeItem>
      <ddeItem name="@CTA[8-2-4-3-5-3576,J,5,#6]" advise="1">
        <values>
          <value t="nil">
            <val>1</val>
          </value>
        </values>
      </ddeItem>
      <ddeItem name="@CTA[8-2-4-3-5-3576,J,6,#6]" advise="1">
        <values>
          <value t="nil">
            <val>1</val>
          </value>
        </values>
      </ddeItem>
      <ddeItem name="@CTA[8-2-4-3-5-3576,J,7,#6]" advise="1">
        <values>
          <value>
            <val>8613.0499999999993</val>
          </value>
        </values>
      </ddeItem>
      <ddeItem name="@CTA[8-2-4-3-5-3576,J,8,#6]" advise="1">
        <values>
          <value t="nil">
            <val>1</val>
          </value>
        </values>
      </ddeItem>
      <ddeItem name="@CTA[8-2-4-3-5-3576,J,9,#6]" advise="1">
        <values>
          <value t="nil">
            <val>1</val>
          </value>
        </values>
      </ddeItem>
      <ddeItem name="@CTA[8-2-4-3-5-3577,J,1,#6]" advise="1">
        <values>
          <value t="nil">
            <val>1</val>
          </value>
        </values>
      </ddeItem>
      <ddeItem name="@CTA[8-2-4-3-5-3577,J,2,#6]" advise="1">
        <values>
          <value t="nil">
            <val>1</val>
          </value>
        </values>
      </ddeItem>
      <ddeItem name="@CTA[8-2-4-3-5-3577,J,3,#6]" advise="1">
        <values>
          <value t="nil">
            <val>1</val>
          </value>
        </values>
      </ddeItem>
      <ddeItem name="@CTA[8-2-4-3-5-3577,J,4,#6]" advise="1">
        <values>
          <value t="nil">
            <val>1</val>
          </value>
        </values>
      </ddeItem>
      <ddeItem name="@CTA[8-2-4-3-5-3577,J,5,#6]" advise="1">
        <values>
          <value t="nil">
            <val>1</val>
          </value>
        </values>
      </ddeItem>
      <ddeItem name="@CTA[8-2-4-3-5-3577,J,6,#6]" advise="1">
        <values>
          <value t="nil">
            <val>1</val>
          </value>
        </values>
      </ddeItem>
      <ddeItem name="@CTA[8-2-4-3-5-3577,J,7,#6]" advise="1">
        <values>
          <value>
            <val>0</val>
          </value>
        </values>
      </ddeItem>
      <ddeItem name="@CTA[8-2-4-3-5-3577,J,8,#6]" advise="1">
        <values>
          <value t="nil">
            <val>1</val>
          </value>
        </values>
      </ddeItem>
      <ddeItem name="@CTA[8-2-4-3-5-3577,J,9,#6]" advise="1">
        <values>
          <value t="nil">
            <val>1</val>
          </value>
        </values>
      </ddeItem>
      <ddeItem name="@CTA[8-2-4-3-6-3611,J,1,#6]" advise="1">
        <values>
          <value t="nil">
            <val>1</val>
          </value>
        </values>
      </ddeItem>
      <ddeItem name="@CTA[8-2-4-3-6-3611,J,2,#6]" advise="1">
        <values>
          <value>
            <val>0</val>
          </value>
        </values>
      </ddeItem>
      <ddeItem name="@CTA[8-2-4-3-6-3611,J,3,#6]" advise="1">
        <values>
          <value>
            <val>0</val>
          </value>
        </values>
      </ddeItem>
      <ddeItem name="@CTA[8-2-4-3-6-3611,J,4,#6]" advise="1">
        <values>
          <value t="nil">
            <val>1</val>
          </value>
        </values>
      </ddeItem>
      <ddeItem name="@CTA[8-2-4-3-6-3611,J,5,#6]" advise="1">
        <values>
          <value>
            <val>0</val>
          </value>
        </values>
      </ddeItem>
      <ddeItem name="@CTA[8-2-4-3-6-3611,J,6,#6]" advise="1">
        <values>
          <value t="nil">
            <val>1</val>
          </value>
        </values>
      </ddeItem>
      <ddeItem name="@CTA[8-2-4-3-6-3611,J,7,#6]" advise="1">
        <values>
          <value>
            <val>0</val>
          </value>
        </values>
      </ddeItem>
      <ddeItem name="@CTA[8-2-4-3-6-3611,J,8,#6]" advise="1">
        <values>
          <value>
            <val>15259.35</val>
          </value>
        </values>
      </ddeItem>
      <ddeItem name="@CTA[8-2-4-3-6-3611,J,9,#6]" advise="1">
        <values>
          <value t="nil">
            <val>1</val>
          </value>
        </values>
      </ddeItem>
      <ddeItem name="@CTA[8-2-4-3-7-3721,J,1,#6]" advise="1">
        <values>
          <value>
            <val>0</val>
          </value>
        </values>
      </ddeItem>
      <ddeItem name="@CTA[8-2-4-3-7-3721,J,2,#6]" advise="1">
        <values>
          <value>
            <val>0</val>
          </value>
        </values>
      </ddeItem>
      <ddeItem name="@CTA[8-2-4-3-7-3721,J,3,#6]" advise="1">
        <values>
          <value>
            <val>0</val>
          </value>
        </values>
      </ddeItem>
      <ddeItem name="@CTA[8-2-4-3-7-3721,J,4,#6]" advise="1">
        <values>
          <value>
            <val>0</val>
          </value>
        </values>
      </ddeItem>
      <ddeItem name="@CTA[8-2-4-3-7-3721,J,5,#6]" advise="1">
        <values>
          <value>
            <val>0</val>
          </value>
        </values>
      </ddeItem>
      <ddeItem name="@CTA[8-2-4-3-7-3721,J,6,#6]" advise="1">
        <values>
          <value>
            <val>0</val>
          </value>
        </values>
      </ddeItem>
      <ddeItem name="@CTA[8-2-4-3-7-3721,J,7,#6]" advise="1">
        <values>
          <value>
            <val>0</val>
          </value>
        </values>
      </ddeItem>
      <ddeItem name="@CTA[8-2-4-3-7-3721,J,8,#6]" advise="1">
        <values>
          <value>
            <val>0</val>
          </value>
        </values>
      </ddeItem>
      <ddeItem name="@CTA[8-2-4-3-7-3721,J,9,#6]" advise="1">
        <values>
          <value>
            <val>0</val>
          </value>
        </values>
      </ddeItem>
      <ddeItem name="@CTA[8-2-4-3-7-3722,J,1,#6]" advise="1">
        <values>
          <value t="nil">
            <val>1</val>
          </value>
        </values>
      </ddeItem>
      <ddeItem name="@CTA[8-2-4-3-7-3722,J,2,#6]" advise="1">
        <values>
          <value t="nil">
            <val>1</val>
          </value>
        </values>
      </ddeItem>
      <ddeItem name="@CTA[8-2-4-3-7-3722,J,3,#6]" advise="1">
        <values>
          <value t="nil">
            <val>1</val>
          </value>
        </values>
      </ddeItem>
      <ddeItem name="@CTA[8-2-4-3-7-3722,J,4,#6]" advise="1">
        <values>
          <value t="nil">
            <val>1</val>
          </value>
        </values>
      </ddeItem>
      <ddeItem name="@CTA[8-2-4-3-7-3722,J,5,#6]" advise="1">
        <values>
          <value t="nil">
            <val>1</val>
          </value>
        </values>
      </ddeItem>
      <ddeItem name="@CTA[8-2-4-3-7-3722,J,6,#6]" advise="1">
        <values>
          <value t="nil">
            <val>1</val>
          </value>
        </values>
      </ddeItem>
      <ddeItem name="@CTA[8-2-4-3-7-3722,J,7,#6]" advise="1">
        <values>
          <value t="nil">
            <val>1</val>
          </value>
        </values>
      </ddeItem>
      <ddeItem name="@CTA[8-2-4-3-7-3722,J,8,#6]" advise="1">
        <values>
          <value t="nil">
            <val>1</val>
          </value>
        </values>
      </ddeItem>
      <ddeItem name="@CTA[8-2-4-3-7-3722,J,9,#6]" advise="1">
        <values>
          <value t="nil">
            <val>1</val>
          </value>
        </values>
      </ddeItem>
      <ddeItem name="@CTA[8-2-4-3-7-3751,J,1,#6]" advise="1">
        <values>
          <value>
            <val>0</val>
          </value>
        </values>
      </ddeItem>
      <ddeItem name="@CTA[8-2-4-3-7-3751,J,2,#6]" advise="1">
        <values>
          <value>
            <val>644.55000000000007</val>
          </value>
        </values>
      </ddeItem>
      <ddeItem name="@CTA[8-2-4-3-7-3751,J,3,#6]" advise="1">
        <values>
          <value>
            <val>0</val>
          </value>
        </values>
      </ddeItem>
      <ddeItem name="@CTA[8-2-4-3-7-3751,J,4,#6]" advise="1">
        <values>
          <value>
            <val>0</val>
          </value>
        </values>
      </ddeItem>
      <ddeItem name="@CTA[8-2-4-3-7-3751,J,5,#6]" advise="1">
        <values>
          <value>
            <val>0</val>
          </value>
        </values>
      </ddeItem>
      <ddeItem name="@CTA[8-2-4-3-7-3751,J,6,#6]" advise="1">
        <values>
          <value>
            <val>0</val>
          </value>
        </values>
      </ddeItem>
      <ddeItem name="@CTA[8-2-4-3-7-3751,J,7,#6]" advise="1">
        <values>
          <value>
            <val>591.4</val>
          </value>
        </values>
      </ddeItem>
      <ddeItem name="@CTA[8-2-4-3-7-3751,J,8,#6]" advise="1">
        <values>
          <value>
            <val>0</val>
          </value>
        </values>
      </ddeItem>
      <ddeItem name="@CTA[8-2-4-3-7-3751,J,9,#6]" advise="1">
        <values>
          <value>
            <val>367.41999999999996</val>
          </value>
        </values>
      </ddeItem>
      <ddeItem name="@CTA[8-2-4-3-8-3821,J,1,#6]" advise="1">
        <values>
          <value>
            <val>0</val>
          </value>
        </values>
      </ddeItem>
      <ddeItem name="@CTA[8-2-4-3-8-3821,J,2,#6]" advise="1">
        <values>
          <value t="nil">
            <val>1</val>
          </value>
        </values>
      </ddeItem>
      <ddeItem name="@CTA[8-2-4-3-8-3821,J,3,#6]" advise="1">
        <values>
          <value>
            <val>0</val>
          </value>
        </values>
      </ddeItem>
      <ddeItem name="@CTA[8-2-4-3-8-3821,J,4,#6]" advise="1">
        <values>
          <value t="nil">
            <val>1</val>
          </value>
        </values>
      </ddeItem>
      <ddeItem name="@CTA[8-2-4-3-8-3821,J,5,#6]" advise="1">
        <values>
          <value>
            <val>0</val>
          </value>
        </values>
      </ddeItem>
      <ddeItem name="@CTA[8-2-4-3-8-3821,J,6,#6]" advise="1">
        <values>
          <value t="nil">
            <val>1</val>
          </value>
        </values>
      </ddeItem>
      <ddeItem name="@CTA[8-2-4-3-8-3821,J,7,#6]" advise="1">
        <values>
          <value t="nil">
            <val>1</val>
          </value>
        </values>
      </ddeItem>
      <ddeItem name="@CTA[8-2-4-3-8-3821,J,8,#6]" advise="1">
        <values>
          <value>
            <val>25337.899999999998</val>
          </value>
        </values>
      </ddeItem>
      <ddeItem name="@CTA[8-2-4-3-8-3821,J,9,#6]" advise="1">
        <values>
          <value t="nil">
            <val>1</val>
          </value>
        </values>
      </ddeItem>
      <ddeItem name="@CTA[8-2-4-3-8-3822,J,1,#6]" advise="1">
        <values>
          <value>
            <val>0</val>
          </value>
        </values>
      </ddeItem>
      <ddeItem name="@CTA[8-2-4-3-8-3822,J,2,#6]" advise="1">
        <values>
          <value>
            <val>0</val>
          </value>
        </values>
      </ddeItem>
      <ddeItem name="@CTA[8-2-4-3-8-3822,J,3,#6]" advise="1">
        <values>
          <value t="nil">
            <val>1</val>
          </value>
        </values>
      </ddeItem>
      <ddeItem name="@CTA[8-2-4-3-8-3822,J,4,#6]" advise="1">
        <values>
          <value t="nil">
            <val>1</val>
          </value>
        </values>
      </ddeItem>
      <ddeItem name="@CTA[8-2-4-3-8-3822,J,5,#6]" advise="1">
        <values>
          <value>
            <val>0</val>
          </value>
        </values>
      </ddeItem>
      <ddeItem name="@CTA[8-2-4-3-8-3822,J,6,#6]" advise="1">
        <values>
          <value t="nil">
            <val>1</val>
          </value>
        </values>
      </ddeItem>
      <ddeItem name="@CTA[8-2-4-3-8-3822,J,7,#6]" advise="1">
        <values>
          <value>
            <val>0</val>
          </value>
        </values>
      </ddeItem>
      <ddeItem name="@CTA[8-2-4-3-8-3822,J,8,#6]" advise="1">
        <values>
          <value>
            <val>15263.460000000003</val>
          </value>
        </values>
      </ddeItem>
      <ddeItem name="@CTA[8-2-4-3-8-3822,J,9,#6]" advise="1">
        <values>
          <value t="nil">
            <val>1</val>
          </value>
        </values>
      </ddeItem>
      <ddeItem name="@CTA[8-2-4-3-8-3831,J,1,#6]" advise="1">
        <values>
          <value>
            <val>0</val>
          </value>
        </values>
      </ddeItem>
      <ddeItem name="@CTA[8-2-4-3-8-3831,J,2,#6]" advise="1">
        <values>
          <value t="nil">
            <val>1</val>
          </value>
        </values>
      </ddeItem>
      <ddeItem name="@CTA[8-2-4-3-8-3831,J,3,#6]" advise="1">
        <values>
          <value>
            <val>0</val>
          </value>
        </values>
      </ddeItem>
      <ddeItem name="@CTA[8-2-4-3-8-3831,J,4,#6]" advise="1">
        <values>
          <value t="nil">
            <val>1</val>
          </value>
        </values>
      </ddeItem>
      <ddeItem name="@CTA[8-2-4-3-8-3831,J,5,#6]" advise="1">
        <values>
          <value>
            <val>0</val>
          </value>
        </values>
      </ddeItem>
      <ddeItem name="@CTA[8-2-4-3-8-3831,J,6,#6]" advise="1">
        <values>
          <value t="nil">
            <val>1</val>
          </value>
        </values>
      </ddeItem>
      <ddeItem name="@CTA[8-2-4-3-8-3831,J,7,#6]" advise="1">
        <values>
          <value t="nil">
            <val>1</val>
          </value>
        </values>
      </ddeItem>
      <ddeItem name="@CTA[8-2-4-3-8-3831,J,8,#6]" advise="1">
        <values>
          <value>
            <val>0</val>
          </value>
        </values>
      </ddeItem>
      <ddeItem name="@CTA[8-2-4-3-8-3831,J,9,#6]" advise="1">
        <values>
          <value t="nil">
            <val>1</val>
          </value>
        </values>
      </ddeItem>
      <ddeItem name="@CTA[8-2-4-3-8-3851,J,1,#6]" advise="1">
        <values>
          <value t="nil">
            <val>1</val>
          </value>
        </values>
      </ddeItem>
      <ddeItem name="@CTA[8-2-4-3-8-3851,J,2,#6]" advise="1">
        <values>
          <value>
            <val>862.07</val>
          </value>
        </values>
      </ddeItem>
      <ddeItem name="@CTA[8-2-4-3-8-3851,J,3,#6]" advise="1">
        <values>
          <value t="nil">
            <val>1</val>
          </value>
        </values>
      </ddeItem>
      <ddeItem name="@CTA[8-2-4-3-8-3851,J,4,#6]" advise="1">
        <values>
          <value t="nil">
            <val>1</val>
          </value>
        </values>
      </ddeItem>
      <ddeItem name="@CTA[8-2-4-3-8-3851,J,5,#6]" advise="1">
        <values>
          <value t="nil">
            <val>1</val>
          </value>
        </values>
      </ddeItem>
      <ddeItem name="@CTA[8-2-4-3-8-3851,J,6,#6]" advise="1">
        <values>
          <value t="nil">
            <val>1</val>
          </value>
        </values>
      </ddeItem>
      <ddeItem name="@CTA[8-2-4-3-8-3851,J,7,#6]" advise="1">
        <values>
          <value t="nil">
            <val>1</val>
          </value>
        </values>
      </ddeItem>
      <ddeItem name="@CTA[8-2-4-3-8-3851,J,8,#6]" advise="1">
        <values>
          <value>
            <val>0</val>
          </value>
        </values>
      </ddeItem>
      <ddeItem name="@CTA[8-2-4-3-8-3851,J,9,#6]" advise="1">
        <values>
          <value t="nil">
            <val>1</val>
          </value>
        </values>
      </ddeItem>
      <ddeItem name="@CTA[8-2-4-3-9-3921,J,1,#6]" advise="1">
        <values>
          <value>
            <val>417109</val>
          </value>
        </values>
      </ddeItem>
      <ddeItem name="@CTA[8-2-4-3-9-3921,J,2,#6]" advise="1">
        <values>
          <value t="nil">
            <val>1</val>
          </value>
        </values>
      </ddeItem>
      <ddeItem name="@CTA[8-2-4-3-9-3921,J,3,#6]" advise="1">
        <values>
          <value t="nil">
            <val>1</val>
          </value>
        </values>
      </ddeItem>
      <ddeItem name="@CTA[8-2-4-3-9-3921,J,4,#6]" advise="1">
        <values>
          <value t="nil">
            <val>1</val>
          </value>
        </values>
      </ddeItem>
      <ddeItem name="@CTA[8-2-4-3-9-3921,J,5,#6]" advise="1">
        <values>
          <value t="nil">
            <val>1</val>
          </value>
        </values>
      </ddeItem>
      <ddeItem name="@CTA[8-2-4-3-9-3921,J,6,#6]" advise="1">
        <values>
          <value t="nil">
            <val>1</val>
          </value>
        </values>
      </ddeItem>
      <ddeItem name="@CTA[8-2-4-3-9-3921,J,7,#6]" advise="1">
        <values>
          <value t="nil">
            <val>1</val>
          </value>
        </values>
      </ddeItem>
      <ddeItem name="@CTA[8-2-4-3-9-3921,J,8,#6]" advise="1">
        <values>
          <value t="nil">
            <val>1</val>
          </value>
        </values>
      </ddeItem>
      <ddeItem name="@CTA[8-2-4-3-9-3921,J,9,#6]" advise="1">
        <values>
          <value t="nil">
            <val>1</val>
          </value>
        </values>
      </ddeItem>
      <ddeItem name="@CTA[8-2-4-3-9-3922,J,1,#6]" advise="1">
        <values>
          <value t="nil">
            <val>1</val>
          </value>
        </values>
      </ddeItem>
      <ddeItem name="@CTA[8-2-4-3-9-3922,J,2,#6]" advise="1">
        <values>
          <value t="nil">
            <val>1</val>
          </value>
        </values>
      </ddeItem>
      <ddeItem name="@CTA[8-2-4-3-9-3922,J,3,#6]" advise="1">
        <values>
          <value t="nil">
            <val>1</val>
          </value>
        </values>
      </ddeItem>
      <ddeItem name="@CTA[8-2-4-3-9-3922,J,4,#6]" advise="1">
        <values>
          <value t="nil">
            <val>1</val>
          </value>
        </values>
      </ddeItem>
      <ddeItem name="@CTA[8-2-4-3-9-3922,J,5,#6]" advise="1">
        <values>
          <value t="nil">
            <val>1</val>
          </value>
        </values>
      </ddeItem>
      <ddeItem name="@CTA[8-2-4-3-9-3922,J,6,#6]" advise="1">
        <values>
          <value t="nil">
            <val>1</val>
          </value>
        </values>
      </ddeItem>
      <ddeItem name="@CTA[8-2-4-3-9-3922,J,7,#6]" advise="1">
        <values>
          <value>
            <val>28843</val>
          </value>
        </values>
      </ddeItem>
      <ddeItem name="@CTA[8-2-4-3-9-3922,J,8,#6]" advise="1">
        <values>
          <value t="nil">
            <val>1</val>
          </value>
        </values>
      </ddeItem>
      <ddeItem name="@CTA[8-2-4-3-9-3922,J,9,#6]" advise="1">
        <values>
          <value>
            <val>0</val>
          </value>
        </values>
      </ddeItem>
      <ddeItem name="@CTA[8-2-4-3-9-3923,J,1,#6]" advise="1">
        <values>
          <value>
            <val>3686</val>
          </value>
        </values>
      </ddeItem>
      <ddeItem name="@CTA[8-2-4-3-9-3923,J,2,#6]" advise="1">
        <values>
          <value>
            <val>431</val>
          </value>
        </values>
      </ddeItem>
      <ddeItem name="@CTA[8-2-4-3-9-3923,J,3,#6]" advise="1">
        <values>
          <value t="nil">
            <val>1</val>
          </value>
        </values>
      </ddeItem>
      <ddeItem name="@CTA[8-2-4-3-9-3923,J,4,#6]" advise="1">
        <values>
          <value t="nil">
            <val>1</val>
          </value>
        </values>
      </ddeItem>
      <ddeItem name="@CTA[8-2-4-3-9-3923,J,5,#6]" advise="1">
        <values>
          <value>
            <val>119</val>
          </value>
        </values>
      </ddeItem>
      <ddeItem name="@CTA[8-2-4-3-9-3923,J,6,#6]" advise="1">
        <values>
          <value>
            <val>0</val>
          </value>
        </values>
      </ddeItem>
      <ddeItem name="@CTA[8-2-4-3-9-3923,J,7,#6]" advise="1">
        <values>
          <value>
            <val>431</val>
          </value>
        </values>
      </ddeItem>
      <ddeItem name="@CTA[8-2-4-3-9-3923,J,8,#6]" advise="1">
        <values>
          <value>
            <val>431</val>
          </value>
        </values>
      </ddeItem>
      <ddeItem name="@CTA[8-2-4-3-9-3923,J,9,#6]" advise="1">
        <values>
          <value>
            <val>431</val>
          </value>
        </values>
      </ddeItem>
      <ddeItem name="@CTA[8-2-4-3-9-3924,J,1,#6]" advise="1">
        <values>
          <value>
            <val>4691.2299999999996</val>
          </value>
        </values>
      </ddeItem>
      <ddeItem name="@CTA[8-2-4-3-9-3924,J,2,#6]" advise="1">
        <values>
          <value>
            <val>0</val>
          </value>
        </values>
      </ddeItem>
      <ddeItem name="@CTA[8-2-4-3-9-3924,J,3,#6]" advise="1">
        <values>
          <value>
            <val>586.4</val>
          </value>
        </values>
      </ddeItem>
      <ddeItem name="@CTA[8-2-4-3-9-3924,J,4,#6]" advise="1">
        <values>
          <value>
            <val>781.87</val>
          </value>
        </values>
      </ddeItem>
      <ddeItem name="@CTA[8-2-4-3-9-3924,J,5,#6]" advise="1">
        <values>
          <value>
            <val>1368.28</val>
          </value>
        </values>
      </ddeItem>
      <ddeItem name="@CTA[8-2-4-3-9-3924,J,6,#6]" advise="1">
        <values>
          <value t="nil">
            <val>1</val>
          </value>
        </values>
      </ddeItem>
      <ddeItem name="@CTA[8-2-4-3-9-3924,J,7,#6]" advise="1">
        <values>
          <value>
            <val>977.34</val>
          </value>
        </values>
      </ddeItem>
      <ddeItem name="@CTA[8-2-4-3-9-3924,J,8,#6]" advise="1">
        <values>
          <value>
            <val>390.94</val>
          </value>
        </values>
      </ddeItem>
      <ddeItem name="@CTA[8-2-4-3-9-3924,J,9,#6]" advise="1">
        <values>
          <value>
            <val>390.94</val>
          </value>
        </values>
      </ddeItem>
      <ddeItem name="@CTA[8-2-4-3-9-3925,J,1,#6]" advise="1">
        <values>
          <value>
            <val>3163.51</val>
          </value>
        </values>
      </ddeItem>
      <ddeItem name="@CTA[8-2-4-3-9-3925,J,2,#6]" advise="1">
        <values>
          <value>
            <val>202.59</val>
          </value>
        </values>
      </ddeItem>
      <ddeItem name="@CTA[8-2-4-3-9-3925,J,3,#6]" advise="1">
        <values>
          <value>
            <val>5207</val>
          </value>
        </values>
      </ddeItem>
      <ddeItem name="@CTA[8-2-4-3-9-3925,J,4,#6]" advise="1">
        <values>
          <value>
            <val>0</val>
          </value>
        </values>
      </ddeItem>
      <ddeItem name="@CTA[8-2-4-3-9-3925,J,5,#6]" advise="1">
        <values>
          <value>
            <val>0</val>
          </value>
        </values>
      </ddeItem>
      <ddeItem name="@CTA[8-2-4-3-9-3925,J,6,#6]" advise="1">
        <values>
          <value>
            <val>0</val>
          </value>
        </values>
      </ddeItem>
      <ddeItem name="@CTA[8-2-4-3-9-3925,J,7,#6]" advise="1">
        <values>
          <value>
            <val>0</val>
          </value>
        </values>
      </ddeItem>
      <ddeItem name="@CTA[8-2-4-3-9-3925,J,8,#6]" advise="1">
        <values>
          <value>
            <val>202.59</val>
          </value>
        </values>
      </ddeItem>
      <ddeItem name="@CTA[8-2-4-3-9-3925,J,9,#6]" advise="1">
        <values>
          <value>
            <val>202.59</val>
          </value>
        </values>
      </ddeItem>
      <ddeItem name="@CTA[8-2-4-3-9-3926,J,1,#6]" advise="1">
        <values>
          <value t="nil">
            <val>1</val>
          </value>
        </values>
      </ddeItem>
      <ddeItem name="@CTA[8-2-4-3-9-3926,J,2,#6]" advise="1">
        <values>
          <value t="nil">
            <val>1</val>
          </value>
        </values>
      </ddeItem>
      <ddeItem name="@CTA[8-2-4-3-9-3926,J,3,#6]" advise="1">
        <values>
          <value>
            <val>0</val>
          </value>
        </values>
      </ddeItem>
      <ddeItem name="@CTA[8-2-4-3-9-3926,J,4,#6]" advise="1">
        <values>
          <value t="nil">
            <val>1</val>
          </value>
        </values>
      </ddeItem>
      <ddeItem name="@CTA[8-2-4-3-9-3926,J,5,#6]" advise="1">
        <values>
          <value t="nil">
            <val>1</val>
          </value>
        </values>
      </ddeItem>
      <ddeItem name="@CTA[8-2-4-3-9-3926,J,6,#6]" advise="1">
        <values>
          <value t="nil">
            <val>1</val>
          </value>
        </values>
      </ddeItem>
      <ddeItem name="@CTA[8-2-4-3-9-3926,J,7,#6]" advise="1">
        <values>
          <value t="nil">
            <val>1</val>
          </value>
        </values>
      </ddeItem>
      <ddeItem name="@CTA[8-2-4-3-9-3926,J,8,#6]" advise="1">
        <values>
          <value t="nil">
            <val>1</val>
          </value>
        </values>
      </ddeItem>
      <ddeItem name="@CTA[8-2-4-3-9-3926,J,9,#6]" advise="1">
        <values>
          <value t="nil">
            <val>1</val>
          </value>
        </values>
      </ddeItem>
      <ddeItem name="@CTA[8-2-4-3-9-3961,J,1,#6]" advise="1">
        <values>
          <value>
            <val>0</val>
          </value>
        </values>
      </ddeItem>
      <ddeItem name="@CTA[8-2-4-3-9-3961,J,2,#6]" advise="1">
        <values>
          <value>
            <val>0</val>
          </value>
        </values>
      </ddeItem>
      <ddeItem name="@CTA[8-2-4-3-9-3961,J,3,#6]" advise="1">
        <values>
          <value>
            <val>0</val>
          </value>
        </values>
      </ddeItem>
      <ddeItem name="@CTA[8-2-4-3-9-3961,J,4,#6]" advise="1">
        <values>
          <value t="nil">
            <val>1</val>
          </value>
        </values>
      </ddeItem>
      <ddeItem name="@CTA[8-2-4-3-9-3961,J,5,#6]" advise="1">
        <values>
          <value t="nil">
            <val>1</val>
          </value>
        </values>
      </ddeItem>
      <ddeItem name="@CTA[8-2-4-3-9-3961,J,6,#6]" advise="1">
        <values>
          <value t="nil">
            <val>1</val>
          </value>
        </values>
      </ddeItem>
      <ddeItem name="@CTA[8-2-4-3-9-3961,J,7,#6]" advise="1">
        <values>
          <value t="nil">
            <val>1</val>
          </value>
        </values>
      </ddeItem>
      <ddeItem name="@CTA[8-2-4-3-9-3961,J,8,#6]" advise="1">
        <values>
          <value t="nil">
            <val>1</val>
          </value>
        </values>
      </ddeItem>
      <ddeItem name="@CTA[8-2-4-3-9-3961,J,9,#6]" advise="1">
        <values>
          <value t="nil">
            <val>1</val>
          </value>
        </values>
      </ddeItem>
      <ddeItem name="@CTA[8-2-4-3-9-3962,J,1,#6]" advise="1">
        <values>
          <value>
            <val>4195.74</val>
          </value>
        </values>
      </ddeItem>
      <ddeItem name="@CTA[8-2-4-3-9-3962,J,2,#6]" advise="1">
        <values>
          <value t="nil">
            <val>1</val>
          </value>
        </values>
      </ddeItem>
      <ddeItem name="@CTA[8-2-4-3-9-3962,J,3,#6]" advise="1">
        <values>
          <value>
            <val>0</val>
          </value>
        </values>
      </ddeItem>
      <ddeItem name="@CTA[8-2-4-3-9-3962,J,4,#6]" advise="1">
        <values>
          <value>
            <val>5330</val>
          </value>
        </values>
      </ddeItem>
      <ddeItem name="@CTA[8-2-4-3-9-3962,J,5,#6]" advise="1">
        <values>
          <value>
            <val>0</val>
          </value>
        </values>
      </ddeItem>
      <ddeItem name="@CTA[8-2-4-3-9-3962,J,6,#6]" advise="1">
        <values>
          <value t="nil">
            <val>1</val>
          </value>
        </values>
      </ddeItem>
      <ddeItem name="@CTA[8-2-4-3-9-3962,J,7,#6]" advise="1">
        <values>
          <value>
            <val>2549.48</val>
          </value>
        </values>
      </ddeItem>
      <ddeItem name="@CTA[8-2-4-3-9-3962,J,8,#6]" advise="1">
        <values>
          <value>
            <val>0</val>
          </value>
        </values>
      </ddeItem>
      <ddeItem name="@CTA[8-2-4-3-9-3962,J,9,#6]" advise="1">
        <values>
          <value t="nil">
            <val>1</val>
          </value>
        </values>
      </ddeItem>
      <ddeItem name="@CTA[8-2-4-3-9-3981,J,1,#6]" advise="1">
        <values>
          <value>
            <val>18618.3</val>
          </value>
        </values>
      </ddeItem>
      <ddeItem name="@CTA[8-2-4-3-9-3981,J,2,#6]" advise="1">
        <values>
          <value>
            <val>5578.25</val>
          </value>
        </values>
      </ddeItem>
      <ddeItem name="@CTA[8-2-4-3-9-3981,J,3,#6]" advise="1">
        <values>
          <value>
            <val>5747.17</val>
          </value>
        </values>
      </ddeItem>
      <ddeItem name="@CTA[8-2-4-3-9-3981,J,4,#6]" advise="1">
        <values>
          <value>
            <val>4222.17</val>
          </value>
        </values>
      </ddeItem>
      <ddeItem name="@CTA[8-2-4-3-9-3981,J,5,#6]" advise="1">
        <values>
          <value>
            <val>5943.32</val>
          </value>
        </values>
      </ddeItem>
      <ddeItem name="@CTA[8-2-4-3-9-3981,J,6,#6]" advise="1">
        <values>
          <value>
            <val>1625.3200000000002</val>
          </value>
        </values>
      </ddeItem>
      <ddeItem name="@CTA[8-2-4-3-9-3981,J,7,#6]" advise="1">
        <values>
          <value>
            <val>5581.42</val>
          </value>
        </values>
      </ddeItem>
      <ddeItem name="@CTA[8-2-4-3-9-3981,J,8,#6]" advise="1">
        <values>
          <value>
            <val>1567.73</val>
          </value>
        </values>
      </ddeItem>
      <ddeItem name="@CTA[8-2-4-3-9-3981,J,9,#6]" advise="1">
        <values>
          <value>
            <val>3212.6499999999996</val>
          </value>
        </values>
      </ddeItem>
      <ddeItem name="@CTA[8-2-4-5-1-5111,J,1,#6]" advise="1">
        <values>
          <value>
            <val>0</val>
          </value>
        </values>
      </ddeItem>
      <ddeItem name="@CTA[8-2-4-5-1-5111,J,2,#6]" advise="1">
        <values>
          <value>
            <val>0</val>
          </value>
        </values>
      </ddeItem>
      <ddeItem name="@CTA[8-2-4-5-1-5111,J,3,#6]" advise="1">
        <values>
          <value>
            <val>0</val>
          </value>
        </values>
      </ddeItem>
      <ddeItem name="@CTA[8-2-4-5-1-5111,J,4,#6]" advise="1">
        <values>
          <value>
            <val>0</val>
          </value>
        </values>
      </ddeItem>
      <ddeItem name="@CTA[8-2-4-5-1-5111,J,5,#6]" advise="1">
        <values>
          <value>
            <val>0</val>
          </value>
        </values>
      </ddeItem>
      <ddeItem name="@CTA[8-2-4-5-1-5111,J,6,#6]" advise="1">
        <values>
          <value t="nil">
            <val>1</val>
          </value>
        </values>
      </ddeItem>
      <ddeItem name="@CTA[8-2-4-5-1-5111,J,7,#6]" advise="1">
        <values>
          <value>
            <val>0</val>
          </value>
        </values>
      </ddeItem>
      <ddeItem name="@CTA[8-2-4-5-1-5111,J,8,#6]" advise="1">
        <values>
          <value>
            <val>0</val>
          </value>
        </values>
      </ddeItem>
      <ddeItem name="@CTA[8-2-4-5-1-5111,J,9,#6]" advise="1">
        <values>
          <value>
            <val>0</val>
          </value>
        </values>
      </ddeItem>
      <ddeItem name="@CTA[8-2-4-5-1-5151,J,1,#6]" advise="1">
        <values>
          <value>
            <val>0</val>
          </value>
        </values>
      </ddeItem>
      <ddeItem name="@CTA[8-2-4-5-1-5151,J,2,#6]" advise="1">
        <values>
          <value t="nil">
            <val>1</val>
          </value>
        </values>
      </ddeItem>
      <ddeItem name="@CTA[8-2-4-5-1-5151,J,3,#6]" advise="1">
        <values>
          <value>
            <val>0</val>
          </value>
        </values>
      </ddeItem>
      <ddeItem name="@CTA[8-2-4-5-1-5151,J,4,#6]" advise="1">
        <values>
          <value t="nil">
            <val>1</val>
          </value>
        </values>
      </ddeItem>
      <ddeItem name="@CTA[8-2-4-5-1-5151,J,5,#6]" advise="1">
        <values>
          <value>
            <val>0</val>
          </value>
        </values>
      </ddeItem>
      <ddeItem name="@CTA[8-2-4-5-1-5151,J,6,#6]" advise="1">
        <values>
          <value>
            <val>0</val>
          </value>
        </values>
      </ddeItem>
      <ddeItem name="@CTA[8-2-4-5-1-5151,J,7,#6]" advise="1">
        <values>
          <value>
            <val>0</val>
          </value>
        </values>
      </ddeItem>
      <ddeItem name="@CTA[8-2-4-5-1-5151,J,8,#6]" advise="1">
        <values>
          <value>
            <val>0</val>
          </value>
        </values>
      </ddeItem>
      <ddeItem name="@CTA[8-2-4-5-1-5151,J,9,#6]" advise="1">
        <values>
          <value>
            <val>0</val>
          </value>
        </values>
      </ddeItem>
      <ddeItem name="@CTA[8-2-4-5-1-5152,J,1,#6]" advise="1">
        <values>
          <value t="nil">
            <val>1</val>
          </value>
        </values>
      </ddeItem>
      <ddeItem name="@CTA[8-2-4-5-1-5152,J,2,#6]" advise="1">
        <values>
          <value>
            <val>0</val>
          </value>
        </values>
      </ddeItem>
      <ddeItem name="@CTA[8-2-4-5-1-5152,J,3,#6]" advise="1">
        <values>
          <value t="nil">
            <val>1</val>
          </value>
        </values>
      </ddeItem>
      <ddeItem name="@CTA[8-2-4-5-1-5152,J,4,#6]" advise="1">
        <values>
          <value>
            <val>8864.64</val>
          </value>
        </values>
      </ddeItem>
      <ddeItem name="@CTA[8-2-4-5-1-5152,J,5,#6]" advise="1">
        <values>
          <value>
            <val>0</val>
          </value>
        </values>
      </ddeItem>
      <ddeItem name="@CTA[8-2-4-5-1-5152,J,6,#6]" advise="1">
        <values>
          <value>
            <val>0</val>
          </value>
        </values>
      </ddeItem>
      <ddeItem name="@CTA[8-2-4-5-1-5152,J,7,#6]" advise="1">
        <values>
          <value t="nil">
            <val>1</val>
          </value>
        </values>
      </ddeItem>
      <ddeItem name="@CTA[8-2-4-5-1-5152,J,8,#6]" advise="1">
        <values>
          <value t="nil">
            <val>1</val>
          </value>
        </values>
      </ddeItem>
      <ddeItem name="@CTA[8-2-4-5-1-5152,J,9,#6]" advise="1">
        <values>
          <value t="nil">
            <val>1</val>
          </value>
        </values>
      </ddeItem>
      <ddeItem name="@CTA[8-2-4-5-1-5153,J,1,#6]" advise="1">
        <values>
          <value t="nil">
            <val>1</val>
          </value>
        </values>
      </ddeItem>
      <ddeItem name="@CTA[8-2-4-5-1-5153,J,2,#6]" advise="1">
        <values>
          <value t="nil">
            <val>1</val>
          </value>
        </values>
      </ddeItem>
      <ddeItem name="@CTA[8-2-4-5-1-5153,J,3,#6]" advise="1">
        <values>
          <value t="nil">
            <val>1</val>
          </value>
        </values>
      </ddeItem>
      <ddeItem name="@CTA[8-2-4-5-1-5153,J,4,#6]" advise="1">
        <values>
          <value t="nil">
            <val>1</val>
          </value>
        </values>
      </ddeItem>
      <ddeItem name="@CTA[8-2-4-5-1-5153,J,5,#6]" advise="1">
        <values>
          <value t="nil">
            <val>1</val>
          </value>
        </values>
      </ddeItem>
      <ddeItem name="@CTA[8-2-4-5-1-5153,J,6,#6]" advise="1">
        <values>
          <value>
            <val>0</val>
          </value>
        </values>
      </ddeItem>
      <ddeItem name="@CTA[8-2-4-5-1-5153,J,7,#6]" advise="1">
        <values>
          <value>
            <val>0</val>
          </value>
        </values>
      </ddeItem>
      <ddeItem name="@CTA[8-2-4-5-1-5153,J,8,#6]" advise="1">
        <values>
          <value t="nil">
            <val>1</val>
          </value>
        </values>
      </ddeItem>
      <ddeItem name="@CTA[8-2-4-5-1-5153,J,9,#6]" advise="1">
        <values>
          <value t="nil">
            <val>1</val>
          </value>
        </values>
      </ddeItem>
      <ddeItem name="@CTA[8-2-4-5-2-5231,J,1,#6]" advise="1">
        <values>
          <value>
            <val>0</val>
          </value>
        </values>
      </ddeItem>
      <ddeItem name="@CTA[8-2-4-5-2-5231,J,2,#6]" advise="1">
        <values>
          <value>
            <val>0</val>
          </value>
        </values>
      </ddeItem>
      <ddeItem name="@CTA[8-2-4-5-2-5231,J,3,#6]" advise="1">
        <values>
          <value>
            <val>0</val>
          </value>
        </values>
      </ddeItem>
      <ddeItem name="@CTA[8-2-4-5-2-5231,J,4,#6]" advise="1">
        <values>
          <value>
            <val>0</val>
          </value>
        </values>
      </ddeItem>
      <ddeItem name="@CTA[8-2-4-5-2-5231,J,5,#6]" advise="1">
        <values>
          <value t="nil">
            <val>1</val>
          </value>
        </values>
      </ddeItem>
      <ddeItem name="@CTA[8-2-4-5-2-5231,J,6,#6]" advise="1">
        <values>
          <value t="nil">
            <val>1</val>
          </value>
        </values>
      </ddeItem>
      <ddeItem name="@CTA[8-2-4-5-2-5231,J,7,#6]" advise="1">
        <values>
          <value t="nil">
            <val>1</val>
          </value>
        </values>
      </ddeItem>
      <ddeItem name="@CTA[8-2-4-5-2-5231,J,8,#6]" advise="1">
        <values>
          <value>
            <val>0</val>
          </value>
        </values>
      </ddeItem>
      <ddeItem name="@CTA[8-2-4-5-2-5231,J,9,#6]" advise="1">
        <values>
          <value t="nil">
            <val>1</val>
          </value>
        </values>
      </ddeItem>
      <ddeItem name="@CTA[8-2-4-5-3-5311,J,7,#6]" advise="1">
        <values>
          <value>
            <val>0</val>
          </value>
        </values>
      </ddeItem>
      <ddeItem name="@CTA[8-2-4-5-4-5411,J,1,#6]" advise="1">
        <values>
          <value t="nil">
            <val>1</val>
          </value>
        </values>
      </ddeItem>
      <ddeItem name="@CTA[8-2-4-5-4-5411,J,2,#6]" advise="1">
        <values>
          <value t="nil">
            <val>1</val>
          </value>
        </values>
      </ddeItem>
      <ddeItem name="@CTA[8-2-4-5-4-5411,J,3,#6]" advise="1">
        <values>
          <value t="nil">
            <val>1</val>
          </value>
        </values>
      </ddeItem>
      <ddeItem name="@CTA[8-2-4-5-4-5411,J,4,#6]" advise="1">
        <values>
          <value t="nil">
            <val>1</val>
          </value>
        </values>
      </ddeItem>
      <ddeItem name="@CTA[8-2-4-5-4-5411,J,5,#6]" advise="1">
        <values>
          <value t="nil">
            <val>1</val>
          </value>
        </values>
      </ddeItem>
      <ddeItem name="@CTA[8-2-4-5-4-5411,J,6,#6]" advise="1">
        <values>
          <value t="nil">
            <val>1</val>
          </value>
        </values>
      </ddeItem>
      <ddeItem name="@CTA[8-2-4-5-4-5411,J,7,#6]" advise="1">
        <values>
          <value t="nil">
            <val>1</val>
          </value>
        </values>
      </ddeItem>
      <ddeItem name="@CTA[8-2-4-5-4-5411,J,8,#6]" advise="1">
        <values>
          <value t="nil">
            <val>1</val>
          </value>
        </values>
      </ddeItem>
      <ddeItem name="@CTA[8-2-4-5-4-5411,J,9,#6]" advise="1">
        <values>
          <value t="nil">
            <val>1</val>
          </value>
        </values>
      </ddeItem>
      <ddeItem name="@CTA[8-2-4-5-4-5491,J,1,#6]" advise="1">
        <values>
          <value>
            <val>22758.62</val>
          </value>
        </values>
      </ddeItem>
      <ddeItem name="@CTA[8-2-4-5-4-5491,J,2,#6]" advise="1">
        <values>
          <value t="nil">
            <val>1</val>
          </value>
        </values>
      </ddeItem>
      <ddeItem name="@CTA[8-2-4-5-4-5491,J,3,#6]" advise="1">
        <values>
          <value t="nil">
            <val>1</val>
          </value>
        </values>
      </ddeItem>
      <ddeItem name="@CTA[8-2-4-5-4-5491,J,4,#6]" advise="1">
        <values>
          <value t="nil">
            <val>1</val>
          </value>
        </values>
      </ddeItem>
      <ddeItem name="@CTA[8-2-4-5-4-5491,J,5,#6]" advise="1">
        <values>
          <value>
            <val>0</val>
          </value>
        </values>
      </ddeItem>
      <ddeItem name="@CTA[8-2-4-5-4-5491,J,6,#6]" advise="1">
        <values>
          <value t="nil">
            <val>1</val>
          </value>
        </values>
      </ddeItem>
      <ddeItem name="@CTA[8-2-4-5-4-5491,J,7,#6]" advise="1">
        <values>
          <value t="nil">
            <val>1</val>
          </value>
        </values>
      </ddeItem>
      <ddeItem name="@CTA[8-2-4-5-4-5491,J,8,#6]" advise="1">
        <values>
          <value t="nil">
            <val>1</val>
          </value>
        </values>
      </ddeItem>
      <ddeItem name="@CTA[8-2-4-5-4-5491,J,9,#6]" advise="1">
        <values>
          <value t="nil">
            <val>1</val>
          </value>
        </values>
      </ddeItem>
      <ddeItem name="@CTA[8-2-4-5-6-5631,J,1,#6]" advise="1">
        <values>
          <value>
            <val>0</val>
          </value>
        </values>
      </ddeItem>
      <ddeItem name="@CTA[8-2-4-5-6-5631,J,2,#6]" advise="1">
        <values>
          <value t="nil">
            <val>1</val>
          </value>
        </values>
      </ddeItem>
      <ddeItem name="@CTA[8-2-4-5-6-5631,J,3,#6]" advise="1">
        <values>
          <value t="nil">
            <val>1</val>
          </value>
        </values>
      </ddeItem>
      <ddeItem name="@CTA[8-2-4-5-6-5631,J,4,#6]" advise="1">
        <values>
          <value t="nil">
            <val>1</val>
          </value>
        </values>
      </ddeItem>
      <ddeItem name="@CTA[8-2-4-5-6-5631,J,5,#6]" advise="1">
        <values>
          <value t="nil">
            <val>1</val>
          </value>
        </values>
      </ddeItem>
      <ddeItem name="@CTA[8-2-4-5-6-5631,J,6,#6]" advise="1">
        <values>
          <value t="nil">
            <val>1</val>
          </value>
        </values>
      </ddeItem>
      <ddeItem name="@CTA[8-2-4-5-6-5631,J,7,#6]" advise="1">
        <values>
          <value t="nil">
            <val>1</val>
          </value>
        </values>
      </ddeItem>
      <ddeItem name="@CTA[8-2-4-5-6-5631,J,8,#6]" advise="1">
        <values>
          <value t="nil">
            <val>1</val>
          </value>
        </values>
      </ddeItem>
      <ddeItem name="@CTA[8-2-4-5-6-5631,J,9,#6]" advise="1">
        <values>
          <value t="nil">
            <val>1</val>
          </value>
        </values>
      </ddeItem>
      <ddeItem name="@CTA[8-2-4-5-6-5632,J,1,#6]" advise="1">
        <values>
          <value>
            <val>0</val>
          </value>
        </values>
      </ddeItem>
      <ddeItem name="@CTA[8-2-4-5-6-5632,J,9,#6]" advise="1">
        <values>
          <value>
            <val>0</val>
          </value>
        </values>
      </ddeItem>
      <ddeItem name="@CTA[8-2-4-5-6-5651,J,1,#6]" advise="1">
        <values>
          <value>
            <val>0</val>
          </value>
        </values>
      </ddeItem>
      <ddeItem name="@CTA[8-2-4-5-6-5651,J,2,#6]" advise="1">
        <values>
          <value t="nil">
            <val>1</val>
          </value>
        </values>
      </ddeItem>
      <ddeItem name="@CTA[8-2-4-5-6-5651,J,3,#6]" advise="1">
        <values>
          <value t="nil">
            <val>1</val>
          </value>
        </values>
      </ddeItem>
      <ddeItem name="@CTA[8-2-4-5-6-5651,J,4,#6]" advise="1">
        <values>
          <value t="nil">
            <val>1</val>
          </value>
        </values>
      </ddeItem>
      <ddeItem name="@CTA[8-2-4-5-6-5651,J,5,#6]" advise="1">
        <values>
          <value t="nil">
            <val>1</val>
          </value>
        </values>
      </ddeItem>
      <ddeItem name="@CTA[8-2-4-5-6-5651,J,6,#6]" advise="1">
        <values>
          <value t="nil">
            <val>1</val>
          </value>
        </values>
      </ddeItem>
      <ddeItem name="@CTA[8-2-4-5-6-5651,J,7,#6]" advise="1">
        <values>
          <value>
            <val>0</val>
          </value>
        </values>
      </ddeItem>
      <ddeItem name="@CTA[8-2-4-5-6-5651,J,8,#6]" advise="1">
        <values>
          <value t="nil">
            <val>1</val>
          </value>
        </values>
      </ddeItem>
      <ddeItem name="@CTA[8-2-4-5-6-5651,J,9,#6]" advise="1">
        <values>
          <value>
            <val>0</val>
          </value>
        </values>
      </ddeItem>
      <ddeItem name="@CTA[8-2-4-5-6-5653,J,8,#6]" advise="1">
        <values>
          <value>
            <val>0</val>
          </value>
        </values>
      </ddeItem>
      <ddeItem name="@CTA[8-2-4-5-6-5671,J,1,#6]" advise="1">
        <values>
          <value>
            <val>0</val>
          </value>
        </values>
      </ddeItem>
      <ddeItem name="@CTA[8-2-4-5-6-5671,J,2,#6]" advise="1">
        <values>
          <value t="nil">
            <val>1</val>
          </value>
        </values>
      </ddeItem>
      <ddeItem name="@CTA[8-2-4-5-6-5671,J,3,#6]" advise="1">
        <values>
          <value>
            <val>0</val>
          </value>
        </values>
      </ddeItem>
      <ddeItem name="@CTA[8-2-4-5-6-5671,J,4,#6]" advise="1">
        <values>
          <value t="nil">
            <val>1</val>
          </value>
        </values>
      </ddeItem>
      <ddeItem name="@CTA[8-2-4-5-6-5671,J,5,#6]" advise="1">
        <values>
          <value t="nil">
            <val>1</val>
          </value>
        </values>
      </ddeItem>
      <ddeItem name="@CTA[8-2-4-5-6-5671,J,6,#6]" advise="1">
        <values>
          <value t="nil">
            <val>1</val>
          </value>
        </values>
      </ddeItem>
      <ddeItem name="@CTA[8-2-4-5-6-5671,J,7,#6]" advise="1">
        <values>
          <value>
            <val>0</val>
          </value>
        </values>
      </ddeItem>
      <ddeItem name="@CTA[8-2-4-5-6-5671,J,8,#6]" advise="1">
        <values>
          <value t="nil">
            <val>1</val>
          </value>
        </values>
      </ddeItem>
      <ddeItem name="@CTA[8-2-4-5-6-5671,J,9,#6]" advise="1">
        <values>
          <value t="nil">
            <val>1</val>
          </value>
        </values>
      </ddeItem>
      <ddeItem name="@CTA[8-2-4-5-6-5693,J,1,#6]" advise="1">
        <values>
          <value>
            <val>0</val>
          </value>
        </values>
      </ddeItem>
      <ddeItem name="@CTA[8-2-4-5-6-5694,J,3,#6]" advise="1">
        <values>
          <value>
            <val>0</val>
          </value>
        </values>
      </ddeItem>
      <ddeItem name="@CTA[8-2-4-5-9-5911,J,1,#6]" advise="1">
        <values>
          <value>
            <val>0</val>
          </value>
        </values>
      </ddeItem>
      <ddeItem name="@CTA[8-2-4-5-9-5911,J,2,#6]" advise="1">
        <values>
          <value t="nil">
            <val>1</val>
          </value>
        </values>
      </ddeItem>
      <ddeItem name="@CTA[8-2-4-5-9-5911,J,3,#6]" advise="1">
        <values>
          <value t="nil">
            <val>1</val>
          </value>
        </values>
      </ddeItem>
      <ddeItem name="@CTA[8-2-4-5-9-5911,J,4,#6]" advise="1">
        <values>
          <value>
            <val>0</val>
          </value>
        </values>
      </ddeItem>
      <ddeItem name="@CTA[8-2-4-5-9-5911,J,5,#6]" advise="1">
        <values>
          <value t="nil">
            <val>1</val>
          </value>
        </values>
      </ddeItem>
      <ddeItem name="@CTA[8-2-4-5-9-5911,J,6,#6]" advise="1">
        <values>
          <value>
            <val>0</val>
          </value>
        </values>
      </ddeItem>
      <ddeItem name="@CTA[8-2-4-5-9-5911,J,7,#6]" advise="1">
        <values>
          <value t="nil">
            <val>1</val>
          </value>
        </values>
      </ddeItem>
      <ddeItem name="@CTA[8-2-4-5-9-5911,J,8,#6]" advise="1">
        <values>
          <value t="nil">
            <val>1</val>
          </value>
        </values>
      </ddeItem>
      <ddeItem name="@CTA[8-2-4-5-9-5911,J,9,#6]" advise="1">
        <values>
          <value>
            <val>0</val>
          </value>
        </values>
      </ddeItem>
      <ddeItem name="@CTA[8-2-4-5-9-5951,J,2,#6]" advise="1">
        <values>
          <value t="nil">
            <val>1</val>
          </value>
        </values>
      </ddeItem>
      <ddeItem name="@CTA[8-2-4-6-1-6131,J,1,#6]" advise="1">
        <values>
          <value>
            <val>0</val>
          </value>
        </values>
      </ddeItem>
      <ddeItem name="@CTA[8-2-4-6-1-6131,J,2,#6]" advise="1">
        <values>
          <value t="nil">
            <val>1</val>
          </value>
        </values>
      </ddeItem>
      <ddeItem name="@CTA[8-2-4-6-1-6131,J,3,#6]" advise="1">
        <values>
          <value t="nil">
            <val>1</val>
          </value>
        </values>
      </ddeItem>
      <ddeItem name="@CTA[8-2-4-6-1-6131,J,4,#6]" advise="1">
        <values>
          <value t="nil">
            <val>1</val>
          </value>
        </values>
      </ddeItem>
      <ddeItem name="@CTA[8-2-4-6-1-6131,J,5,#6]" advise="1">
        <values>
          <value t="nil">
            <val>1</val>
          </value>
        </values>
      </ddeItem>
      <ddeItem name="@CTA[8-2-4-6-1-6131,J,6,#6]" advise="1">
        <values>
          <value t="nil">
            <val>1</val>
          </value>
        </values>
      </ddeItem>
      <ddeItem name="@CTA[8-2-4-6-1-6131,J,7,#6]" advise="1">
        <values>
          <value t="nil">
            <val>1</val>
          </value>
        </values>
      </ddeItem>
      <ddeItem name="@CTA[8-2-4-6-1-6131,J,8,#6]" advise="1">
        <values>
          <value t="nil">
            <val>1</val>
          </value>
        </values>
      </ddeItem>
      <ddeItem name="@CTA[8-2-4-6-1-6131,J,9,#6]" advise="1">
        <values>
          <value>
            <val>0</val>
          </value>
        </values>
      </ddeItem>
      <ddeItem name="@CTA[8-2-4-6-1-6161,J,1,#6]" advise="1">
        <values>
          <value>
            <val>0</val>
          </value>
        </values>
      </ddeItem>
      <ddeItem name="@CTA[8-2-4-6-1-6161,J,2,#6]" advise="1">
        <values>
          <value t="nil">
            <val>1</val>
          </value>
        </values>
      </ddeItem>
      <ddeItem name="@CTA[8-2-4-6-1-6161,J,3,#6]" advise="1">
        <values>
          <value t="nil">
            <val>1</val>
          </value>
        </values>
      </ddeItem>
      <ddeItem name="@CTA[8-2-4-6-1-6161,J,4,#6]" advise="1">
        <values>
          <value t="nil">
            <val>1</val>
          </value>
        </values>
      </ddeItem>
      <ddeItem name="@CTA[8-2-4-6-1-6161,J,5,#6]" advise="1">
        <values>
          <value t="nil">
            <val>1</val>
          </value>
        </values>
      </ddeItem>
      <ddeItem name="@CTA[8-2-4-6-1-6161,J,6,#6]" advise="1">
        <values>
          <value t="nil">
            <val>1</val>
          </value>
        </values>
      </ddeItem>
      <ddeItem name="@CTA[8-2-4-6-1-6161,J,7,#6]" advise="1">
        <values>
          <value>
            <val>0</val>
          </value>
        </values>
      </ddeItem>
      <ddeItem name="@CTA[8-2-4-6-1-6161,J,8,#6]" advise="1">
        <values>
          <value t="nil">
            <val>1</val>
          </value>
        </values>
      </ddeItem>
      <ddeItem name="@CTA[8-2-4-6-1-6161,J,9,#6]" advise="1">
        <values>
          <value>
            <val>0</val>
          </value>
        </values>
      </ddeItem>
      <ddeItem name="@CTA[8-2-4-6-1-6162,J,1,#6]" advise="1">
        <values>
          <value>
            <val>0</val>
          </value>
        </values>
      </ddeItem>
      <ddeItem name="@CTA[8-2-4-6-1-6162,J,2,#6]" advise="1">
        <values>
          <value t="nil">
            <val>1</val>
          </value>
        </values>
      </ddeItem>
      <ddeItem name="@CTA[8-2-4-6-1-6162,J,3,#6]" advise="1">
        <values>
          <value t="nil">
            <val>1</val>
          </value>
        </values>
      </ddeItem>
      <ddeItem name="@CTA[8-2-4-6-1-6162,J,4,#6]" advise="1">
        <values>
          <value t="nil">
            <val>1</val>
          </value>
        </values>
      </ddeItem>
      <ddeItem name="@CTA[8-2-4-6-1-6162,J,5,#6]" advise="1">
        <values>
          <value t="nil">
            <val>1</val>
          </value>
        </values>
      </ddeItem>
      <ddeItem name="@CTA[8-2-4-6-1-6162,J,6,#6]" advise="1">
        <values>
          <value t="nil">
            <val>1</val>
          </value>
        </values>
      </ddeItem>
      <ddeItem name="@CTA[8-2-4-6-1-6162,J,7,#6]" advise="1">
        <values>
          <value t="nil">
            <val>1</val>
          </value>
        </values>
      </ddeItem>
      <ddeItem name="@CTA[8-2-4-6-1-6162,J,8,#6]" advise="1">
        <values>
          <value t="nil">
            <val>1</val>
          </value>
        </values>
      </ddeItem>
      <ddeItem name="@CTA[8-2-4-6-1-6162,J,9,#6]" advise="1">
        <values>
          <value>
            <val>1776253.7399999998</val>
          </value>
        </values>
      </ddeItem>
      <ddeItem name="@CTA[8-2-4-6-1-6171,J,1,#6]" advise="1">
        <values>
          <value>
            <val>0</val>
          </value>
        </values>
      </ddeItem>
      <ddeItem name="@CTA[8-2-4-6-1-6171,J,2,#6]" advise="1">
        <values>
          <value t="nil">
            <val>1</val>
          </value>
        </values>
      </ddeItem>
      <ddeItem name="@CTA[8-2-4-6-1-6171,J,3,#6]" advise="1">
        <values>
          <value t="nil">
            <val>1</val>
          </value>
        </values>
      </ddeItem>
      <ddeItem name="@CTA[8-2-4-6-1-6171,J,4,#6]" advise="1">
        <values>
          <value t="nil">
            <val>1</val>
          </value>
        </values>
      </ddeItem>
      <ddeItem name="@CTA[8-2-4-6-1-6171,J,5,#6]" advise="1">
        <values>
          <value t="nil">
            <val>1</val>
          </value>
        </values>
      </ddeItem>
      <ddeItem name="@CTA[8-2-4-6-1-6171,J,6,#6]" advise="1">
        <values>
          <value t="nil">
            <val>1</val>
          </value>
        </values>
      </ddeItem>
      <ddeItem name="@CTA[8-2-4-6-1-6171,J,7,#6]" advise="1">
        <values>
          <value t="nil">
            <val>1</val>
          </value>
        </values>
      </ddeItem>
      <ddeItem name="@CTA[8-2-4-6-1-6171,J,8,#6]" advise="1">
        <values>
          <value t="nil">
            <val>1</val>
          </value>
        </values>
      </ddeItem>
      <ddeItem name="@CTA[8-2-4-6-1-6171,J,9,#6]" advise="1">
        <values>
          <value>
            <val>698051.86</val>
          </value>
        </values>
      </ddeItem>
      <ddeItem name="@CTA[8-2-4-6-2-6221,J,1,#6]" advise="1">
        <values>
          <value t="nil">
            <val>1</val>
          </value>
        </values>
      </ddeItem>
      <ddeItem name="@CTA[8-2-5-1,J,#4]" advise="1">
        <values>
          <value>
            <val>3914998.8099999996</val>
          </value>
        </values>
      </ddeItem>
      <ddeItem name="@CTA[8-2-5-1-1,J,#5]" advise="1">
        <values>
          <value>
            <val>2209962.7200000002</val>
          </value>
        </values>
      </ddeItem>
      <ddeItem name="@CTA[8-2-5-1-1-1131,J,1,#6]" advise="1">
        <values>
          <value>
            <val>813409.02</val>
          </value>
        </values>
      </ddeItem>
      <ddeItem name="@CTA[8-2-5-1-1-1131,J,2,#6]" advise="1">
        <values>
          <value>
            <val>144868.63</val>
          </value>
        </values>
      </ddeItem>
      <ddeItem name="@CTA[8-2-5-1-1-1131,J,3,#6]" advise="1">
        <values>
          <value>
            <val>260568.74</val>
          </value>
        </values>
      </ddeItem>
      <ddeItem name="@CTA[8-2-5-1-1-1131,J,4,#6]" advise="1">
        <values>
          <value>
            <val>190840.44</val>
          </value>
        </values>
      </ddeItem>
      <ddeItem name="@CTA[8-2-5-1-1-1131,J,5,#6]" advise="1">
        <values>
          <value>
            <val>260899.32</val>
          </value>
        </values>
      </ddeItem>
      <ddeItem name="@CTA[8-2-5-1-1-1131,J,6,#6]" advise="1">
        <values>
          <value>
            <val>75432.760000000009</val>
          </value>
        </values>
      </ddeItem>
      <ddeItem name="@CTA[8-2-5-1-1-1131,J,7,#6]" advise="1">
        <values>
          <value>
            <val>240597.76999999996</val>
          </value>
        </values>
      </ddeItem>
      <ddeItem name="@CTA[8-2-5-1-1-1131,J,8,#6]" advise="1">
        <values>
          <value>
            <val>68994.81</val>
          </value>
        </values>
      </ddeItem>
      <ddeItem name="@CTA[8-2-5-1-1-1131,J,9,#6]" advise="1">
        <values>
          <value>
            <val>154351.23000000001</val>
          </value>
        </values>
      </ddeItem>
      <ddeItem name="@CTA[8-2-5-1-2,J,#5]" advise="1">
        <values>
          <value>
            <val>131985.1</val>
          </value>
        </values>
      </ddeItem>
      <ddeItem name="@CTA[8-2-5-1-2-1211,J,1,#6]" advise="1">
        <values>
          <value t="nil">
            <val>1</val>
          </value>
        </values>
      </ddeItem>
      <ddeItem name="@CTA[8-2-5-1-2-1211,J,2,#6]" advise="1">
        <values>
          <value>
            <val>131985.1</val>
          </value>
        </values>
      </ddeItem>
      <ddeItem name="@CTA[8-2-5-1-2-1211,J,3,#6]" advise="1">
        <values>
          <value>
            <val>0</val>
          </value>
        </values>
      </ddeItem>
      <ddeItem name="@CTA[8-2-5-1-2-1211,J,4,#6]" advise="1">
        <values>
          <value t="nil">
            <val>1</val>
          </value>
        </values>
      </ddeItem>
      <ddeItem name="@CTA[8-2-5-1-2-1211,J,5,#6]" advise="1">
        <values>
          <value t="nil">
            <val>1</val>
          </value>
        </values>
      </ddeItem>
      <ddeItem name="@CTA[8-2-5-1-2-1211,J,6,#6]" advise="1">
        <values>
          <value>
            <val>0</val>
          </value>
        </values>
      </ddeItem>
      <ddeItem name="@CTA[8-2-5-1-2-1211,J,7,#6]" advise="1">
        <values>
          <value t="nil">
            <val>1</val>
          </value>
        </values>
      </ddeItem>
      <ddeItem name="@CTA[8-2-5-1-2-1211,J,8,#6]" advise="1">
        <values>
          <value t="nil">
            <val>1</val>
          </value>
        </values>
      </ddeItem>
      <ddeItem name="@CTA[8-2-5-1-2-1211,J,9,#6]" advise="1">
        <values>
          <value t="nil">
            <val>1</val>
          </value>
        </values>
      </ddeItem>
      <ddeItem name="@CTA[8-2-5-1-2-1221,J,1,#6]" advise="1">
        <values>
          <value t="nil">
            <val>1</val>
          </value>
        </values>
      </ddeItem>
      <ddeItem name="@CTA[8-2-5-1-2-1221,J,2,#6]" advise="1">
        <values>
          <value t="nil">
            <val>1</val>
          </value>
        </values>
      </ddeItem>
      <ddeItem name="@CTA[8-2-5-1-2-1221,J,3,#6]" advise="1">
        <values>
          <value t="nil">
            <val>1</val>
          </value>
        </values>
      </ddeItem>
      <ddeItem name="@CTA[8-2-5-1-2-1221,J,4,#6]" advise="1">
        <values>
          <value t="nil">
            <val>1</val>
          </value>
        </values>
      </ddeItem>
      <ddeItem name="@CTA[8-2-5-1-2-1221,J,5,#6]" advise="1">
        <values>
          <value t="nil">
            <val>1</val>
          </value>
        </values>
      </ddeItem>
      <ddeItem name="@CTA[8-2-5-1-2-1221,J,6,#6]" advise="1">
        <values>
          <value t="nil">
            <val>1</val>
          </value>
        </values>
      </ddeItem>
      <ddeItem name="@CTA[8-2-5-1-2-1221,J,7,#6]" advise="1">
        <values>
          <value t="nil">
            <val>1</val>
          </value>
        </values>
      </ddeItem>
      <ddeItem name="@CTA[8-2-5-1-2-1221,J,8,#6]" advise="1">
        <values>
          <value t="nil">
            <val>1</val>
          </value>
        </values>
      </ddeItem>
      <ddeItem name="@CTA[8-2-5-1-2-1221,J,9,#6]" advise="1">
        <values>
          <value t="nil">
            <val>1</val>
          </value>
        </values>
      </ddeItem>
      <ddeItem name="@CTA[8-2-5-1-3,J,#5]" advise="1">
        <values>
          <value>
            <val>419138.66000000003</val>
          </value>
        </values>
      </ddeItem>
      <ddeItem name="@CTA[8-2-5-1-3-1311,J,1,#6]" advise="1">
        <values>
          <value>
            <val>0</val>
          </value>
        </values>
      </ddeItem>
      <ddeItem name="@CTA[8-2-5-1-3-1311,J,2,#6]" advise="1">
        <values>
          <value>
            <val>0</val>
          </value>
        </values>
      </ddeItem>
      <ddeItem name="@CTA[8-2-5-1-3-1311,J,3,#6]" advise="1">
        <values>
          <value>
            <val>0</val>
          </value>
        </values>
      </ddeItem>
      <ddeItem name="@CTA[8-2-5-1-3-1311,J,4,#6]" advise="1">
        <values>
          <value>
            <val>0</val>
          </value>
        </values>
      </ddeItem>
      <ddeItem name="@CTA[8-2-5-1-3-1311,J,5,#6]" advise="1">
        <values>
          <value>
            <val>294368.14</val>
          </value>
        </values>
      </ddeItem>
      <ddeItem name="@CTA[8-2-5-1-3-1311,J,6,#6]" advise="1">
        <values>
          <value>
            <val>0</val>
          </value>
        </values>
      </ddeItem>
      <ddeItem name="@CTA[8-2-5-1-3-1311,J,7,#6]" advise="1">
        <values>
          <value>
            <val>0</val>
          </value>
        </values>
      </ddeItem>
      <ddeItem name="@CTA[8-2-5-1-3-1311,J,8,#6]" advise="1">
        <values>
          <value>
            <val>0</val>
          </value>
        </values>
      </ddeItem>
      <ddeItem name="@CTA[8-2-5-1-3-1311,J,9,#6]" advise="1">
        <values>
          <value>
            <val>0</val>
          </value>
        </values>
      </ddeItem>
      <ddeItem name="@CTA[8-2-5-1-3-1321,J,1,#6]" advise="1">
        <values>
          <value>
            <val>12954.85</val>
          </value>
        </values>
      </ddeItem>
      <ddeItem name="@CTA[8-2-5-1-3-1321,J,2,#6]" advise="1">
        <values>
          <value>
            <val>0</val>
          </value>
        </values>
      </ddeItem>
      <ddeItem name="@CTA[8-2-5-1-3-1321,J,3,#6]" advise="1">
        <values>
          <value>
            <val>8817</val>
          </value>
        </values>
      </ddeItem>
      <ddeItem name="@CTA[8-2-5-1-3-1321,J,4,#6]" advise="1">
        <values>
          <value t="nil">
            <val>1</val>
          </value>
        </values>
      </ddeItem>
      <ddeItem name="@CTA[8-2-5-1-3-1321,J,5,#6]" advise="1">
        <values>
          <value>
            <val>0</val>
          </value>
        </values>
      </ddeItem>
      <ddeItem name="@CTA[8-2-5-1-3-1321,J,6,#6]" advise="1">
        <values>
          <value>
            <val>0</val>
          </value>
        </values>
      </ddeItem>
      <ddeItem name="@CTA[8-2-5-1-3-1321,J,7,#6]" advise="1">
        <values>
          <value>
            <val>9115.5</val>
          </value>
        </values>
      </ddeItem>
      <ddeItem name="@CTA[8-2-5-1-3-1321,J,8,#6]" advise="1">
        <values>
          <value>
            <val>141.62</val>
          </value>
        </values>
      </ddeItem>
      <ddeItem name="@CTA[8-2-5-1-3-1321,J,9,#6]" advise="1">
        <values>
          <value>
            <val>361.56</val>
          </value>
        </values>
      </ddeItem>
      <ddeItem name="@CTA[8-2-5-1-3-1322,J,1,#6]" advise="1">
        <values>
          <value>
            <val>17795.36</val>
          </value>
        </values>
      </ddeItem>
      <ddeItem name="@CTA[8-2-5-1-3-1322,J,2,#6]" advise="1">
        <values>
          <value>
            <val>0</val>
          </value>
        </values>
      </ddeItem>
      <ddeItem name="@CTA[8-2-5-1-3-1322,J,3,#6]" advise="1">
        <values>
          <value>
            <val>5519.95</val>
          </value>
        </values>
      </ddeItem>
      <ddeItem name="@CTA[8-2-5-1-3-1322,J,4,#6]" advise="1">
        <values>
          <value>
            <val>3847.38</val>
          </value>
        </values>
      </ddeItem>
      <ddeItem name="@CTA[8-2-5-1-3-1322,J,5,#6]" advise="1">
        <values>
          <value>
            <val>9292.15</val>
          </value>
        </values>
      </ddeItem>
      <ddeItem name="@CTA[8-2-5-1-3-1322,J,6,#6]" advise="1">
        <values>
          <value>
            <val>1715.62</val>
          </value>
        </values>
      </ddeItem>
      <ddeItem name="@CTA[8-2-5-1-3-1322,J,7,#6]" advise="1">
        <values>
          <value>
            <val>4983.8500000000004</val>
          </value>
        </values>
      </ddeItem>
      <ddeItem name="@CTA[8-2-5-1-3-1322,J,8,#6]" advise="1">
        <values>
          <value>
            <val>3125.61</val>
          </value>
        </values>
      </ddeItem>
      <ddeItem name="@CTA[8-2-5-1-3-1322,J,9,#6]" advise="1">
        <values>
          <value>
            <val>5919.4400000000005</val>
          </value>
        </values>
      </ddeItem>
      <ddeItem name="@CTA[8-2-5-1-3-1323,J,1,#6]" advise="1">
        <values>
          <value>
            <val>233.26</val>
          </value>
        </values>
      </ddeItem>
      <ddeItem name="@CTA[8-2-5-1-3-1323,J,2,#6]" advise="1">
        <values>
          <value>
            <val>0</val>
          </value>
        </values>
      </ddeItem>
      <ddeItem name="@CTA[8-2-5-1-3-1323,J,3,#6]" advise="1">
        <values>
          <value>
            <val>232.84</val>
          </value>
        </values>
      </ddeItem>
      <ddeItem name="@CTA[8-2-5-1-3-1323,J,4,#6]" advise="1">
        <values>
          <value>
            <val>0</val>
          </value>
        </values>
      </ddeItem>
      <ddeItem name="@CTA[8-2-5-1-3-1323,J,5,#6]" advise="1">
        <values>
          <value>
            <val>2567.46</val>
          </value>
        </values>
      </ddeItem>
      <ddeItem name="@CTA[8-2-5-1-3-1323,J,6,#6]" advise="1">
        <values>
          <value>
            <val>0</val>
          </value>
        </values>
      </ddeItem>
      <ddeItem name="@CTA[8-2-5-1-3-1323,J,7,#6]" advise="1">
        <values>
          <value>
            <val>0</val>
          </value>
        </values>
      </ddeItem>
      <ddeItem name="@CTA[8-2-5-1-3-1323,J,8,#6]" advise="1">
        <values>
          <value>
            <val>0</val>
          </value>
        </values>
      </ddeItem>
      <ddeItem name="@CTA[8-2-5-1-3-1323,J,9,#6]" advise="1">
        <values>
          <value>
            <val>0</val>
          </value>
        </values>
      </ddeItem>
      <ddeItem name="@CTA[8-2-5-1-3-1331,J,1,#6]" advise="1">
        <values>
          <value>
            <val>17449.59</val>
          </value>
        </values>
      </ddeItem>
      <ddeItem name="@CTA[8-2-5-1-3-1331,J,2,#6]" advise="1">
        <values>
          <value t="nil">
            <val>1</val>
          </value>
        </values>
      </ddeItem>
      <ddeItem name="@CTA[8-2-5-1-3-1331,J,3,#6]" advise="1">
        <values>
          <value>
            <val>1094.99</val>
          </value>
        </values>
      </ddeItem>
      <ddeItem name="@CTA[8-2-5-1-3-1331,J,4,#6]" advise="1">
        <values>
          <value>
            <val>0</val>
          </value>
        </values>
      </ddeItem>
      <ddeItem name="@CTA[8-2-5-1-3-1331,J,5,#6]" advise="1">
        <values>
          <value>
            <val>0</val>
          </value>
        </values>
      </ddeItem>
      <ddeItem name="@CTA[8-2-5-1-3-1331,J,6,#6]" advise="1">
        <values>
          <value t="nil">
            <val>1</val>
          </value>
        </values>
      </ddeItem>
      <ddeItem name="@CTA[8-2-5-1-3-1331,J,7,#6]" advise="1">
        <values>
          <value>
            <val>316.74</val>
          </value>
        </values>
      </ddeItem>
      <ddeItem name="@CTA[8-2-5-1-3-1331,J,8,#6]" advise="1">
        <values>
          <value t="nil">
            <val>1</val>
          </value>
        </values>
      </ddeItem>
      <ddeItem name="@CTA[8-2-5-1-3-1331,J,9,#6]" advise="1">
        <values>
          <value t="nil">
            <val>1</val>
          </value>
        </values>
      </ddeItem>
      <ddeItem name="@CTA[8-2-5-1-3-1341,J,1,#6]" advise="1">
        <values>
          <value>
            <val>19285.75</val>
          </value>
        </values>
      </ddeItem>
      <ddeItem name="@CTA[8-2-5-1-3-1341,J,2,#6]" advise="1">
        <values>
          <value>
            <val>0</val>
          </value>
        </values>
      </ddeItem>
      <ddeItem name="@CTA[8-2-5-1-3-1341,J,3,#6]" advise="1">
        <values>
          <value>
            <val>0</val>
          </value>
        </values>
      </ddeItem>
      <ddeItem name="@CTA[8-2-5-1-3-1341,J,4,#6]" advise="1">
        <values>
          <value>
            <val>0</val>
          </value>
        </values>
      </ddeItem>
      <ddeItem name="@CTA[8-2-5-1-3-1341,J,5,#6]" advise="1">
        <values>
          <value>
            <val>0</val>
          </value>
        </values>
      </ddeItem>
      <ddeItem name="@CTA[8-2-5-1-3-1341,J,6,#6]" advise="1">
        <values>
          <value>
            <val>0</val>
          </value>
        </values>
      </ddeItem>
      <ddeItem name="@CTA[8-2-5-1-3-1341,J,7,#6]" advise="1">
        <values>
          <value>
            <val>0</val>
          </value>
        </values>
      </ddeItem>
      <ddeItem name="@CTA[8-2-5-1-3-1341,J,8,#6]" advise="1">
        <values>
          <value>
            <val>0</val>
          </value>
        </values>
      </ddeItem>
      <ddeItem name="@CTA[8-2-5-1-3-1341,J,9,#6]" advise="1">
        <values>
          <value>
            <val>0</val>
          </value>
        </values>
      </ddeItem>
      <ddeItem name="@CTA[8-2-5-1-4,J,#5]" advise="1">
        <values>
          <value>
            <val>510228.94000000012</val>
          </value>
        </values>
      </ddeItem>
      <ddeItem name="@CTA[8-2-5-1-4-1411,J,1,#6]" advise="1">
        <values>
          <value>
            <val>117965.51999999999</val>
          </value>
        </values>
      </ddeItem>
      <ddeItem name="@CTA[8-2-5-1-4-1411,J,2,#6]" advise="1">
        <values>
          <value>
            <val>14452.44</val>
          </value>
        </values>
      </ddeItem>
      <ddeItem name="@CTA[8-2-5-1-4-1411,J,3,#6]" advise="1">
        <values>
          <value>
            <val>38623.93</val>
          </value>
        </values>
      </ddeItem>
      <ddeItem name="@CTA[8-2-5-1-4-1411,J,4,#6]" advise="1">
        <values>
          <value>
            <val>23961.38</val>
          </value>
        </values>
      </ddeItem>
      <ddeItem name="@CTA[8-2-5-1-4-1411,J,5,#6]" advise="1">
        <values>
          <value>
            <val>32981.769999999997</val>
          </value>
        </values>
      </ddeItem>
      <ddeItem name="@CTA[8-2-5-1-4-1411,J,6,#6]" advise="1">
        <values>
          <value>
            <val>8702.130000000001</val>
          </value>
        </values>
      </ddeItem>
      <ddeItem name="@CTA[8-2-5-1-4-1411,J,7,#6]" advise="1">
        <values>
          <value>
            <val>29820.93</val>
          </value>
        </values>
      </ddeItem>
      <ddeItem name="@CTA[8-2-5-1-4-1411,J,8,#6]" advise="1">
        <values>
          <value>
            <val>8223.2199999999993</val>
          </value>
        </values>
      </ddeItem>
      <ddeItem name="@CTA[8-2-5-1-4-1411,J,9,#6]" advise="1">
        <values>
          <value>
            <val>23121.519999999997</val>
          </value>
        </values>
      </ddeItem>
      <ddeItem name="@CTA[8-2-5-1-4-1421,J,1,#6]" advise="1">
        <values>
          <value>
            <val>35486.21</val>
          </value>
        </values>
      </ddeItem>
      <ddeItem name="@CTA[8-2-5-1-4-1421,J,2,#6]" advise="1">
        <values>
          <value>
            <val>6369.79</val>
          </value>
        </values>
      </ddeItem>
      <ddeItem name="@CTA[8-2-5-1-4-1421,J,3,#6]" advise="1">
        <values>
          <value>
            <val>12426.06</val>
          </value>
        </values>
      </ddeItem>
      <ddeItem name="@CTA[8-2-5-1-4-1421,J,4,#6]" advise="1">
        <values>
          <value>
            <val>8511.6299999999992</val>
          </value>
        </values>
      </ddeItem>
      <ddeItem name="@CTA[8-2-5-1-4-1421,J,5,#6]" advise="1">
        <values>
          <value>
            <val>11157.94</val>
          </value>
        </values>
      </ddeItem>
      <ddeItem name="@CTA[8-2-5-1-4-1421,J,6,#6]" advise="1">
        <values>
          <value>
            <val>3418.11</val>
          </value>
        </values>
      </ddeItem>
      <ddeItem name="@CTA[8-2-5-1-4-1421,J,7,#6]" advise="1">
        <values>
          <value>
            <val>10045.67</val>
          </value>
        </values>
      </ddeItem>
      <ddeItem name="@CTA[8-2-5-1-4-1421,J,8,#6]" advise="1">
        <values>
          <value>
            <val>3183.7</val>
          </value>
        </values>
      </ddeItem>
      <ddeItem name="@CTA[8-2-5-1-4-1421,J,9,#6]" advise="1">
        <values>
          <value>
            <val>8441.74</val>
          </value>
        </values>
      </ddeItem>
      <ddeItem name="@CTA[8-2-5-1-4-1431,J,1,#6]" advise="1">
        <values>
          <value>
            <val>36550.74</val>
          </value>
        </values>
      </ddeItem>
      <ddeItem name="@CTA[8-2-5-1-4-1431,J,2,#6]" advise="1">
        <values>
          <value>
            <val>6560.89</val>
          </value>
        </values>
      </ddeItem>
      <ddeItem name="@CTA[8-2-5-1-4-1431,J,3,#6]" advise="1">
        <values>
          <value>
            <val>12422.28</val>
          </value>
        </values>
      </ddeItem>
      <ddeItem name="@CTA[8-2-5-1-4-1431,J,4,#6]" advise="1">
        <values>
          <value>
            <val>8766.99</val>
          </value>
        </values>
      </ddeItem>
      <ddeItem name="@CTA[8-2-5-1-4-1431,J,5,#6]" advise="1">
        <values>
          <value>
            <val>11492.7</val>
          </value>
        </values>
      </ddeItem>
      <ddeItem name="@CTA[8-2-5-1-4-1431,J,6,#6]" advise="1">
        <values>
          <value>
            <val>3520.65</val>
          </value>
        </values>
      </ddeItem>
      <ddeItem name="@CTA[8-2-5-1-4-1431,J,7,#6]" advise="1">
        <values>
          <value>
            <val>10347.02</val>
          </value>
        </values>
      </ddeItem>
      <ddeItem name="@CTA[8-2-5-1-4-1431,J,8,#6]" advise="1">
        <values>
          <value>
            <val>3279.21</val>
          </value>
        </values>
      </ddeItem>
      <ddeItem name="@CTA[8-2-5-1-4-1431,J,9,#6]" advise="1">
        <values>
          <value>
            <val>8695</val>
          </value>
        </values>
      </ddeItem>
      <ddeItem name="@CTA[8-2-5-1-4-1441,J,1,#6]" advise="1">
        <values>
          <value>
            <val>4791.33</val>
          </value>
        </values>
      </ddeItem>
      <ddeItem name="@CTA[8-2-5-1-4-1441,J,2,#6]" advise="1">
        <values>
          <value>
            <val>779.99</val>
          </value>
        </values>
      </ddeItem>
      <ddeItem name="@CTA[8-2-5-1-4-1441,J,3,#6]" advise="1">
        <values>
          <value>
            <val>1671.4</val>
          </value>
        </values>
      </ddeItem>
      <ddeItem name="@CTA[8-2-5-1-4-1441,J,4,#6]" advise="1">
        <values>
          <value>
            <val>779.99</val>
          </value>
        </values>
      </ddeItem>
      <ddeItem name="@CTA[8-2-5-1-4-1441,J,5,#6]" advise="1">
        <values>
          <value>
            <val>1337.1100000000001</val>
          </value>
        </values>
      </ddeItem>
      <ddeItem name="@CTA[8-2-5-1-4-1441,J,6,#6]" advise="1">
        <values>
          <value>
            <val>222.85</val>
          </value>
        </values>
      </ddeItem>
      <ddeItem name="@CTA[8-2-5-1-4-1441,J,7,#6]" advise="1">
        <values>
          <value>
            <val>1337.1100000000001</val>
          </value>
        </values>
      </ddeItem>
      <ddeItem name="@CTA[8-2-5-1-4-1441,J,8,#6]" advise="1">
        <values>
          <value>
            <val>557.14</val>
          </value>
        </values>
      </ddeItem>
      <ddeItem name="@CTA[8-2-5-1-4-1441,J,9,#6]" advise="1">
        <values>
          <value>
            <val>222.85</val>
          </value>
        </values>
      </ddeItem>
      <ddeItem name="@CTA[8-2-5-1-5,J,#5]" advise="1">
        <values>
          <value>
            <val>643683.39</val>
          </value>
        </values>
      </ddeItem>
      <ddeItem name="@CTA[8-2-5-1-5-1521,J,1,#6]" advise="1">
        <values>
          <value>
            <val>0</val>
          </value>
        </values>
      </ddeItem>
      <ddeItem name="@CTA[8-2-5-1-5-1521,J,2,#6]" advise="1">
        <values>
          <value>
            <val>0</val>
          </value>
        </values>
      </ddeItem>
      <ddeItem name="@CTA[8-2-5-1-5-1521,J,3,#6]" advise="1">
        <values>
          <value>
            <val>0</val>
          </value>
        </values>
      </ddeItem>
      <ddeItem name="@CTA[8-2-5-1-5-1521,J,4,#6]" advise="1">
        <values>
          <value>
            <val>0</val>
          </value>
        </values>
      </ddeItem>
      <ddeItem name="@CTA[8-2-5-1-5-1521,J,5,#6]" advise="1">
        <values>
          <value>
            <val>0</val>
          </value>
        </values>
      </ddeItem>
      <ddeItem name="@CTA[8-2-5-1-5-1521,J,6,#6]" advise="1">
        <values>
          <value t="nil">
            <val>1</val>
          </value>
        </values>
      </ddeItem>
      <ddeItem name="@CTA[8-2-5-1-5-1521,J,7,#6]" advise="1">
        <values>
          <value>
            <val>0</val>
          </value>
        </values>
      </ddeItem>
      <ddeItem name="@CTA[8-2-5-1-5-1521,J,8,#6]" advise="1">
        <values>
          <value>
            <val>0</val>
          </value>
        </values>
      </ddeItem>
      <ddeItem name="@CTA[8-2-5-1-5-1521,J,9,#6]" advise="1">
        <values>
          <value>
            <val>0</val>
          </value>
        </values>
      </ddeItem>
      <ddeItem name="@CTA[8-2-5-1-5-1522,J,1,#6]" advise="1">
        <values>
          <value t="nil">
            <val>1</val>
          </value>
        </values>
      </ddeItem>
      <ddeItem name="@CTA[8-2-5-1-5-1522,J,2,#6]" advise="1">
        <values>
          <value>
            <val>0</val>
          </value>
        </values>
      </ddeItem>
      <ddeItem name="@CTA[8-2-5-1-5-1522,J,3,#6]" advise="1">
        <values>
          <value t="nil">
            <val>1</val>
          </value>
        </values>
      </ddeItem>
      <ddeItem name="@CTA[8-2-5-1-5-1522,J,4,#6]" advise="1">
        <values>
          <value t="nil">
            <val>1</val>
          </value>
        </values>
      </ddeItem>
      <ddeItem name="@CTA[8-2-5-1-5-1522,J,5,#6]" advise="1">
        <values>
          <value t="nil">
            <val>1</val>
          </value>
        </values>
      </ddeItem>
      <ddeItem name="@CTA[8-2-5-1-5-1522,J,6,#6]" advise="1">
        <values>
          <value t="nil">
            <val>1</val>
          </value>
        </values>
      </ddeItem>
      <ddeItem name="@CTA[8-2-5-1-5-1522,J,7,#6]" advise="1">
        <values>
          <value t="nil">
            <val>1</val>
          </value>
        </values>
      </ddeItem>
      <ddeItem name="@CTA[8-2-5-1-5-1522,J,8,#6]" advise="1">
        <values>
          <value t="nil">
            <val>1</val>
          </value>
        </values>
      </ddeItem>
      <ddeItem name="@CTA[8-2-5-1-5-1522,J,9,#6]" advise="1">
        <values>
          <value t="nil">
            <val>1</val>
          </value>
        </values>
      </ddeItem>
      <ddeItem name="@CTA[8-2-5-1-5-1541,J,1,#6]" advise="1">
        <values>
          <value>
            <val>170079.94</val>
          </value>
        </values>
      </ddeItem>
      <ddeItem name="@CTA[8-2-5-1-5-1541,J,2,#6]" advise="1">
        <values>
          <value>
            <val>31926.840000000004</val>
          </value>
        </values>
      </ddeItem>
      <ddeItem name="@CTA[8-2-5-1-5-1541,J,3,#6]" advise="1">
        <values>
          <value>
            <val>56872.12999999999</val>
          </value>
        </values>
      </ddeItem>
      <ddeItem name="@CTA[8-2-5-1-5-1541,J,4,#6]" advise="1">
        <values>
          <value>
            <val>42053.97</val>
          </value>
        </values>
      </ddeItem>
      <ddeItem name="@CTA[8-2-5-1-5-1541,J,5,#6]" advise="1">
        <values>
          <value>
            <val>55954.42</val>
          </value>
        </values>
      </ddeItem>
      <ddeItem name="@CTA[8-2-5-1-5-1541,J,6,#6]" advise="1">
        <values>
          <value>
            <val>16624.23</val>
          </value>
        </values>
      </ddeItem>
      <ddeItem name="@CTA[8-2-5-1-5-1541,J,7,#6]" advise="1">
        <values>
          <value>
            <val>51148.490000000005</val>
          </value>
        </values>
      </ddeItem>
      <ddeItem name="@CTA[8-2-5-1-5-1541,J,8,#6]" advise="1">
        <values>
          <value>
            <val>15101.369999999999</val>
          </value>
        </values>
      </ddeItem>
      <ddeItem name="@CTA[8-2-5-1-5-1541,J,9,#6]" advise="1">
        <values>
          <value>
            <val>34363.199999999997</val>
          </value>
        </values>
      </ddeItem>
      <ddeItem name="@CTA[8-2-5-1-5-1542,J,1,#6]" advise="1">
        <values>
          <value>
            <val>67236.41</val>
          </value>
        </values>
      </ddeItem>
      <ddeItem name="@CTA[8-2-5-1-5-1542,J,2,#6]" advise="1">
        <values>
          <value>
            <val>2059.12</val>
          </value>
        </values>
      </ddeItem>
      <ddeItem name="@CTA[8-2-5-1-5-1542,J,3,#6]" advise="1">
        <values>
          <value>
            <val>12219.56</val>
          </value>
        </values>
      </ddeItem>
      <ddeItem name="@CTA[8-2-5-1-5-1542,J,4,#6]" advise="1">
        <values>
          <value>
            <val>16420.43</val>
          </value>
        </values>
      </ddeItem>
      <ddeItem name="@CTA[8-2-5-1-5-1542,J,5,#6]" advise="1">
        <values>
          <value>
            <val>24406.949999999997</val>
          </value>
        </values>
      </ddeItem>
      <ddeItem name="@CTA[8-2-5-1-5-1542,J,6,#6]" advise="1">
        <values>
          <value>
            <val>4117.99</val>
          </value>
        </values>
      </ddeItem>
      <ddeItem name="@CTA[8-2-5-1-5-1542,J,7,#6]" advise="1">
        <values>
          <value>
            <val>24374.03</val>
          </value>
        </values>
      </ddeItem>
      <ddeItem name="@CTA[8-2-5-1-5-1542,J,8,#6]" advise="1">
        <values>
          <value>
            <val>6124.31</val>
          </value>
        </values>
      </ddeItem>
      <ddeItem name="@CTA[8-2-5-1-5-1542,J,9,#6]" advise="1">
        <values>
          <value>
            <val>0</val>
          </value>
        </values>
      </ddeItem>
      <ddeItem name="@CTA[8-2-5-1-5-1543,J,1,#6]" advise="1">
        <values>
          <value>
            <val>0</val>
          </value>
        </values>
      </ddeItem>
      <ddeItem name="@CTA[8-2-5-1-5-1543,J,2,#6]" advise="1">
        <values>
          <value>
            <val>0</val>
          </value>
        </values>
      </ddeItem>
      <ddeItem name="@CTA[8-2-5-1-5-1543,J,3,#6]" advise="1">
        <values>
          <value>
            <val>0</val>
          </value>
        </values>
      </ddeItem>
      <ddeItem name="@CTA[8-2-5-1-5-1543,J,4,#6]" advise="1">
        <values>
          <value t="nil">
            <val>1</val>
          </value>
        </values>
      </ddeItem>
      <ddeItem name="@CTA[8-2-5-1-5-1543,J,5,#6]" advise="1">
        <values>
          <value>
            <val>0</val>
          </value>
        </values>
      </ddeItem>
      <ddeItem name="@CTA[8-2-5-1-5-1543,J,6,#6]" advise="1">
        <values>
          <value t="nil">
            <val>1</val>
          </value>
        </values>
      </ddeItem>
      <ddeItem name="@CTA[8-2-5-1-5-1543,J,7,#6]" advise="1">
        <values>
          <value t="nil">
            <val>1</val>
          </value>
        </values>
      </ddeItem>
      <ddeItem name="@CTA[8-2-5-1-5-1543,J,8,#6]" advise="1">
        <values>
          <value t="nil">
            <val>1</val>
          </value>
        </values>
      </ddeItem>
      <ddeItem name="@CTA[8-2-5-1-5-1543,J,9,#6]" advise="1">
        <values>
          <value t="nil">
            <val>1</val>
          </value>
        </values>
      </ddeItem>
      <ddeItem name="@CTA[8-2-5-1-5-1544,J,1,#6]" advise="1">
        <values>
          <value>
            <val>9100</val>
          </value>
        </values>
      </ddeItem>
      <ddeItem name="@CTA[8-2-5-1-5-1544,J,2,#6]" advise="1">
        <values>
          <value t="nil">
            <val>1</val>
          </value>
        </values>
      </ddeItem>
      <ddeItem name="@CTA[8-2-5-1-5-1544,J,3,#6]" advise="1">
        <values>
          <value t="nil">
            <val>1</val>
          </value>
        </values>
      </ddeItem>
      <ddeItem name="@CTA[8-2-5-1-5-1544,J,4,#6]" advise="1">
        <values>
          <value>
            <val>0</val>
          </value>
        </values>
      </ddeItem>
      <ddeItem name="@CTA[8-2-5-1-5-1544,J,5,#6]" advise="1">
        <values>
          <value>
            <val>2800</val>
          </value>
        </values>
      </ddeItem>
      <ddeItem name="@CTA[8-2-5-1-5-1544,J,6,#6]" advise="1">
        <values>
          <value t="nil">
            <val>1</val>
          </value>
        </values>
      </ddeItem>
      <ddeItem name="@CTA[8-2-5-1-5-1544,J,7,#6]" advise="1">
        <values>
          <value>
            <val>700</val>
          </value>
        </values>
      </ddeItem>
      <ddeItem name="@CTA[8-2-5-1-5-1544,J,8,#6]" advise="1">
        <values>
          <value t="nil">
            <val>1</val>
          </value>
        </values>
      </ddeItem>
      <ddeItem name="@CTA[8-2-5-1-5-1544,J,9,#6]" advise="1">
        <values>
          <value t="nil">
            <val>1</val>
          </value>
        </values>
      </ddeItem>
      <ddeItem name="@CTA[8-2-5-1-6,J,#5]" advise="1">
        <values>
          <value t="nil">
            <val>1</val>
          </value>
        </values>
      </ddeItem>
      <ddeItem name="@CTA[8-2-5-1-7,J,#5]" advise="1">
        <values>
          <value t="nil">
            <val>1</val>
          </value>
        </values>
      </ddeItem>
      <ddeItem name="@CTA[8-2-5-2,J,#4]" advise="1">
        <values>
          <value>
            <val>1194469.5199999998</val>
          </value>
        </values>
      </ddeItem>
      <ddeItem name="@CTA[8-2-5-2-1,J,#5]" advise="1">
        <values>
          <value>
            <val>45147.75</val>
          </value>
        </values>
      </ddeItem>
      <ddeItem name="@CTA[8-2-5-2-1-2111,J,1,#6]" advise="1">
        <values>
          <value>
            <val>1056.6400000000001</val>
          </value>
        </values>
      </ddeItem>
      <ddeItem name="@CTA[8-2-5-2-1-2111,J,2,#6]" advise="1">
        <values>
          <value>
            <val>2211.7199999999998</val>
          </value>
        </values>
      </ddeItem>
      <ddeItem name="@CTA[8-2-5-2-1-2111,J,3,#6]" advise="1">
        <values>
          <value>
            <val>868.88</val>
          </value>
        </values>
      </ddeItem>
      <ddeItem name="@CTA[8-2-5-2-1-2111,J,4,#6]" advise="1">
        <values>
          <value>
            <val>7742.59</val>
          </value>
        </values>
      </ddeItem>
      <ddeItem name="@CTA[8-2-5-2-1-2111,J,5,#6]" advise="1">
        <values>
          <value>
            <val>1263.6500000000001</val>
          </value>
        </values>
      </ddeItem>
      <ddeItem name="@CTA[8-2-5-2-1-2111,J,6,#6]" advise="1">
        <values>
          <value>
            <val>432.3</val>
          </value>
        </values>
      </ddeItem>
      <ddeItem name="@CTA[8-2-5-2-1-2111,J,7,#6]" advise="1">
        <values>
          <value>
            <val>267.67</val>
          </value>
        </values>
      </ddeItem>
      <ddeItem name="@CTA[8-2-5-2-1-2111,J,8,#6]" advise="1">
        <values>
          <value>
            <val>166.11999999999998</val>
          </value>
        </values>
      </ddeItem>
      <ddeItem name="@CTA[8-2-5-2-1-2111,J,9,#6]" advise="1">
        <values>
          <value>
            <val>1997.9500000000003</val>
          </value>
        </values>
      </ddeItem>
      <ddeItem name="@CTA[8-2-5-2-1-2121,J,1,#6]" advise="1">
        <values>
          <value>
            <val>123.41999999999999</val>
          </value>
        </values>
      </ddeItem>
      <ddeItem name="@CTA[8-2-5-2-1-2121,J,2,#6]" advise="1">
        <values>
          <value>
            <val>380.53</val>
          </value>
        </values>
      </ddeItem>
      <ddeItem name="@CTA[8-2-5-2-1-2121,J,3,#6]" advise="1">
        <values>
          <value>
            <val>498.97</val>
          </value>
        </values>
      </ddeItem>
      <ddeItem name="@CTA[8-2-5-2-1-2121,J,4,#6]" advise="1">
        <values>
          <value>
            <val>1934.66</val>
          </value>
        </values>
      </ddeItem>
      <ddeItem name="@CTA[8-2-5-2-1-2121,J,5,#6]" advise="1">
        <values>
          <value>
            <val>941.48</val>
          </value>
        </values>
      </ddeItem>
      <ddeItem name="@CTA[8-2-5-2-1-2121,J,6,#6]" advise="1">
        <values>
          <value>
            <val>0</val>
          </value>
        </values>
      </ddeItem>
      <ddeItem name="@CTA[8-2-5-2-1-2121,J,7,#6]" advise="1">
        <values>
          <value>
            <val>42.8</val>
          </value>
        </values>
      </ddeItem>
      <ddeItem name="@CTA[8-2-5-2-1-2121,J,8,#6]" advise="1">
        <values>
          <value>
            <val>85.59</val>
          </value>
        </values>
      </ddeItem>
      <ddeItem name="@CTA[8-2-5-2-1-2121,J,9,#6]" advise="1">
        <values>
          <value>
            <val>491.46</val>
          </value>
        </values>
      </ddeItem>
      <ddeItem name="@CTA[8-2-5-2-1-2131,J,1,#6]" advise="1">
        <values>
          <value t="nil">
            <val>1</val>
          </value>
        </values>
      </ddeItem>
      <ddeItem name="@CTA[8-2-5-2-1-2131,J,2,#6]" advise="1">
        <values>
          <value t="nil">
            <val>1</val>
          </value>
        </values>
      </ddeItem>
      <ddeItem name="@CTA[8-2-5-2-1-2131,J,3,#6]" advise="1">
        <values>
          <value t="nil">
            <val>1</val>
          </value>
        </values>
      </ddeItem>
      <ddeItem name="@CTA[8-2-5-2-1-2131,J,4,#6]" advise="1">
        <values>
          <value t="nil">
            <val>1</val>
          </value>
        </values>
      </ddeItem>
      <ddeItem name="@CTA[8-2-5-2-1-2131,J,5,#6]" advise="1">
        <values>
          <value t="nil">
            <val>1</val>
          </value>
        </values>
      </ddeItem>
      <ddeItem name="@CTA[8-2-5-2-1-2131,J,6,#6]" advise="1">
        <values>
          <value t="nil">
            <val>1</val>
          </value>
        </values>
      </ddeItem>
      <ddeItem name="@CTA[8-2-5-2-1-2131,J,7,#6]" advise="1">
        <values>
          <value t="nil">
            <val>1</val>
          </value>
        </values>
      </ddeItem>
      <ddeItem name="@CTA[8-2-5-2-1-2131,J,8,#6]" advise="1">
        <values>
          <value t="nil">
            <val>1</val>
          </value>
        </values>
      </ddeItem>
      <ddeItem name="@CTA[8-2-5-2-1-2131,J,9,#6]" advise="1">
        <values>
          <value t="nil">
            <val>1</val>
          </value>
        </values>
      </ddeItem>
      <ddeItem name="@CTA[8-2-5-2-1-2141,J,1,#6]" advise="1">
        <values>
          <value>
            <val>0</val>
          </value>
        </values>
      </ddeItem>
      <ddeItem name="@CTA[8-2-5-2-1-2141,J,2,#6]" advise="1">
        <values>
          <value>
            <val>0</val>
          </value>
        </values>
      </ddeItem>
      <ddeItem name="@CTA[8-2-5-2-1-2141,J,3,#6]" advise="1">
        <values>
          <value>
            <val>0</val>
          </value>
        </values>
      </ddeItem>
      <ddeItem name="@CTA[8-2-5-2-1-2141,J,4,#6]" advise="1">
        <values>
          <value>
            <val>0</val>
          </value>
        </values>
      </ddeItem>
      <ddeItem name="@CTA[8-2-5-2-1-2141,J,5,#6]" advise="1">
        <values>
          <value>
            <val>0</val>
          </value>
        </values>
      </ddeItem>
      <ddeItem name="@CTA[8-2-5-2-1-2141,J,6,#6]" advise="1">
        <values>
          <value>
            <val>14629.960000000001</val>
          </value>
        </values>
      </ddeItem>
      <ddeItem name="@CTA[8-2-5-2-1-2141,J,7,#6]" advise="1">
        <values>
          <value>
            <val>0</val>
          </value>
        </values>
      </ddeItem>
      <ddeItem name="@CTA[8-2-5-2-1-2141,J,8,#6]" advise="1">
        <values>
          <value>
            <val>0</val>
          </value>
        </values>
      </ddeItem>
      <ddeItem name="@CTA[8-2-5-2-1-2141,J,9,#6]" advise="1">
        <values>
          <value>
            <val>0</val>
          </value>
        </values>
      </ddeItem>
      <ddeItem name="@CTA[8-2-5-2-1-2151,J,1,#6]" advise="1">
        <values>
          <value>
            <val>0</val>
          </value>
        </values>
      </ddeItem>
      <ddeItem name="@CTA[8-2-5-2-1-2151,J,2,#6]" advise="1">
        <values>
          <value>
            <val>0</val>
          </value>
        </values>
      </ddeItem>
      <ddeItem name="@CTA[8-2-5-2-1-2151,J,3,#6]" advise="1">
        <values>
          <value>
            <val>0</val>
          </value>
        </values>
      </ddeItem>
      <ddeItem name="@CTA[8-2-5-2-1-2151,J,4,#6]" advise="1">
        <values>
          <value t="nil">
            <val>1</val>
          </value>
        </values>
      </ddeItem>
      <ddeItem name="@CTA[8-2-5-2-1-2151,J,5,#6]" advise="1">
        <values>
          <value>
            <val>0</val>
          </value>
        </values>
      </ddeItem>
      <ddeItem name="@CTA[8-2-5-2-1-2151,J,6,#6]" advise="1">
        <values>
          <value t="nil">
            <val>1</val>
          </value>
        </values>
      </ddeItem>
      <ddeItem name="@CTA[8-2-5-2-1-2151,J,7,#6]" advise="1">
        <values>
          <value t="nil">
            <val>1</val>
          </value>
        </values>
      </ddeItem>
      <ddeItem name="@CTA[8-2-5-2-1-2151,J,8,#6]" advise="1">
        <values>
          <value>
            <val>0</val>
          </value>
        </values>
      </ddeItem>
      <ddeItem name="@CTA[8-2-5-2-1-2151,J,9,#6]" advise="1">
        <values>
          <value t="nil">
            <val>1</val>
          </value>
        </values>
      </ddeItem>
      <ddeItem name="@CTA[8-2-5-2-1-2161,J,1,#6]" advise="1">
        <values>
          <value>
            <val>362.42000000000007</val>
          </value>
        </values>
      </ddeItem>
      <ddeItem name="@CTA[8-2-5-2-1-2161,J,2,#6]" advise="1">
        <values>
          <value>
            <val>9.0500000000000007</val>
          </value>
        </values>
      </ddeItem>
      <ddeItem name="@CTA[8-2-5-2-1-2161,J,3,#6]" advise="1">
        <values>
          <value>
            <val>3971.29</val>
          </value>
        </values>
      </ddeItem>
      <ddeItem name="@CTA[8-2-5-2-1-2161,J,4,#6]" advise="1">
        <values>
          <value>
            <val>19.11</val>
          </value>
        </values>
      </ddeItem>
      <ddeItem name="@CTA[8-2-5-2-1-2161,J,5,#6]" advise="1">
        <values>
          <value>
            <val>0</val>
          </value>
        </values>
      </ddeItem>
      <ddeItem name="@CTA[8-2-5-2-1-2161,J,6,#6]" advise="1">
        <values>
          <value>
            <val>0</val>
          </value>
        </values>
      </ddeItem>
      <ddeItem name="@CTA[8-2-5-2-1-2161,J,7,#6]" advise="1">
        <values>
          <value>
            <val>1199.49</val>
          </value>
        </values>
      </ddeItem>
      <ddeItem name="@CTA[8-2-5-2-1-2161,J,8,#6]" advise="1">
        <values>
          <value>
            <val>0</val>
          </value>
        </values>
      </ddeItem>
      <ddeItem name="@CTA[8-2-5-2-1-2161,J,9,#6]" advise="1">
        <values>
          <value t="nil">
            <val>1</val>
          </value>
        </values>
      </ddeItem>
      <ddeItem name="@CTA[8-2-5-2-1-2171,J,1,#6]" advise="1">
        <values>
          <value>
            <val>0</val>
          </value>
        </values>
      </ddeItem>
      <ddeItem name="@CTA[8-2-5-2-1-2171,J,2,#6]" advise="1">
        <values>
          <value>
            <val>0</val>
          </value>
        </values>
      </ddeItem>
      <ddeItem name="@CTA[8-2-5-2-1-2171,J,3,#6]" advise="1">
        <values>
          <value>
            <val>0</val>
          </value>
        </values>
      </ddeItem>
      <ddeItem name="@CTA[8-2-5-2-1-2171,J,4,#6]" advise="1">
        <values>
          <value>
            <val>4450</val>
          </value>
        </values>
      </ddeItem>
      <ddeItem name="@CTA[8-2-5-2-1-2171,J,5,#6]" advise="1">
        <values>
          <value>
            <val>0</val>
          </value>
        </values>
      </ddeItem>
      <ddeItem name="@CTA[8-2-5-2-1-2171,J,6,#6]" advise="1">
        <values>
          <value t="nil">
            <val>1</val>
          </value>
        </values>
      </ddeItem>
      <ddeItem name="@CTA[8-2-5-2-1-2171,J,7,#6]" advise="1">
        <values>
          <value>
            <val>0</val>
          </value>
        </values>
      </ddeItem>
      <ddeItem name="@CTA[8-2-5-2-1-2171,J,8,#6]" advise="1">
        <values>
          <value>
            <val>0</val>
          </value>
        </values>
      </ddeItem>
      <ddeItem name="@CTA[8-2-5-2-1-2171,J,9,#6]" advise="1">
        <values>
          <value t="nil">
            <val>1</val>
          </value>
        </values>
      </ddeItem>
      <ddeItem name="@CTA[8-2-5-2-2,J,#5]" advise="1">
        <values>
          <value>
            <val>16061.890000000001</val>
          </value>
        </values>
      </ddeItem>
      <ddeItem name="@CTA[8-2-5-2-2-2211,J,1,#6]" advise="1">
        <values>
          <value>
            <val>3677</val>
          </value>
        </values>
      </ddeItem>
      <ddeItem name="@CTA[8-2-5-2-2-2211,J,2,#6]" advise="1">
        <values>
          <value>
            <val>0</val>
          </value>
        </values>
      </ddeItem>
      <ddeItem name="@CTA[8-2-5-2-2-2211,J,3,#6]" advise="1">
        <values>
          <value>
            <val>761</val>
          </value>
        </values>
      </ddeItem>
      <ddeItem name="@CTA[8-2-5-2-2-2211,J,4,#6]" advise="1">
        <values>
          <value>
            <val>0</val>
          </value>
        </values>
      </ddeItem>
      <ddeItem name="@CTA[8-2-5-2-2-2211,J,5,#6]" advise="1">
        <values>
          <value>
            <val>0</val>
          </value>
        </values>
      </ddeItem>
      <ddeItem name="@CTA[8-2-5-2-2-2211,J,6,#6]" advise="1">
        <values>
          <value>
            <val>0</val>
          </value>
        </values>
      </ddeItem>
      <ddeItem name="@CTA[8-2-5-2-2-2211,J,7,#6]" advise="1">
        <values>
          <value>
            <val>0</val>
          </value>
        </values>
      </ddeItem>
      <ddeItem name="@CTA[8-2-5-2-2-2211,J,8,#6]" advise="1">
        <values>
          <value>
            <val>390</val>
          </value>
        </values>
      </ddeItem>
      <ddeItem name="@CTA[8-2-5-2-2-2211,J,9,#6]" advise="1">
        <values>
          <value>
            <val>0</val>
          </value>
        </values>
      </ddeItem>
      <ddeItem name="@CTA[8-2-5-2-2-2221,J,3,#6]" advise="1">
        <values>
          <value>
            <val>1298.73</val>
          </value>
        </values>
      </ddeItem>
      <ddeItem name="@CTA[8-2-5-2-2-2221,J,7,#6]" advise="1">
        <values>
          <value>
            <val>545.68000000000006</val>
          </value>
        </values>
      </ddeItem>
      <ddeItem name="@CTA[8-2-5-2-2-2231,J,1,#6]" advise="1">
        <values>
          <value>
            <val>386.19</val>
          </value>
        </values>
      </ddeItem>
      <ddeItem name="@CTA[8-2-5-2-2-2231,J,2,#6]" advise="1">
        <values>
          <value>
            <val>6240.5700000000006</val>
          </value>
        </values>
      </ddeItem>
      <ddeItem name="@CTA[8-2-5-2-2-2231,J,3,#6]" advise="1">
        <values>
          <value>
            <val>386.19</val>
          </value>
        </values>
      </ddeItem>
      <ddeItem name="@CTA[8-2-5-2-2-2231,J,4,#6]" advise="1">
        <values>
          <value>
            <val>445.65999999999997</val>
          </value>
        </values>
      </ddeItem>
      <ddeItem name="@CTA[8-2-5-2-2-2231,J,5,#6]" advise="1">
        <values>
          <value>
            <val>386.16999999999996</val>
          </value>
        </values>
      </ddeItem>
      <ddeItem name="@CTA[8-2-5-2-2-2231,J,6,#6]" advise="1">
        <values>
          <value>
            <val>386.15999999999997</val>
          </value>
        </values>
      </ddeItem>
      <ddeItem name="@CTA[8-2-5-2-2-2231,J,7,#6]" advise="1">
        <values>
          <value>
            <val>386.16999999999996</val>
          </value>
        </values>
      </ddeItem>
      <ddeItem name="@CTA[8-2-5-2-2-2231,J,8,#6]" advise="1">
        <values>
          <value>
            <val>386.16999999999996</val>
          </value>
        </values>
      </ddeItem>
      <ddeItem name="@CTA[8-2-5-2-2-2231,J,9,#6]" advise="1">
        <values>
          <value>
            <val>386.20000000000005</val>
          </value>
        </values>
      </ddeItem>
      <ddeItem name="@CTA[8-2-5-2-3,J,#5]" advise="1">
        <values>
          <value t="nil">
            <val>1</val>
          </value>
        </values>
      </ddeItem>
      <ddeItem name="@CTA[8-2-5-2-4,J,#5]" advise="1">
        <values>
          <value>
            <val>677385.47</val>
          </value>
        </values>
      </ddeItem>
      <ddeItem name="@CTA[8-2-5-2-4-2411,J,1,#6]" advise="1">
        <values>
          <value>
            <val>600</val>
          </value>
        </values>
      </ddeItem>
      <ddeItem name="@CTA[8-2-5-2-4-2411,J,2,#6]" advise="1">
        <values>
          <value>
            <val>0</val>
          </value>
        </values>
      </ddeItem>
      <ddeItem name="@CTA[8-2-5-2-4-2411,J,3,#6]" advise="1">
        <values>
          <value>
            <val>0</val>
          </value>
        </values>
      </ddeItem>
      <ddeItem name="@CTA[8-2-5-2-4-2411,J,4,#6]" advise="1">
        <values>
          <value>
            <val>0</val>
          </value>
        </values>
      </ddeItem>
      <ddeItem name="@CTA[8-2-5-2-4-2411,J,5,#6]" advise="1">
        <values>
          <value t="nil">
            <val>1</val>
          </value>
        </values>
      </ddeItem>
      <ddeItem name="@CTA[8-2-5-2-4-2411,J,6,#6]" advise="1">
        <values>
          <value t="nil">
            <val>1</val>
          </value>
        </values>
      </ddeItem>
      <ddeItem name="@CTA[8-2-5-2-4-2411,J,7,#6]" advise="1">
        <values>
          <value>
            <val>0</val>
          </value>
        </values>
      </ddeItem>
      <ddeItem name="@CTA[8-2-5-2-4-2411,J,8,#6]" advise="1">
        <values>
          <value>
            <val>0</val>
          </value>
        </values>
      </ddeItem>
      <ddeItem name="@CTA[8-2-5-2-4-2411,J,9,#6]" advise="1">
        <values>
          <value t="nil">
            <val>1</val>
          </value>
        </values>
      </ddeItem>
      <ddeItem name="@CTA[8-2-5-2-4-2461,J,1,#6]" advise="1">
        <values>
          <value>
            <val>1630</val>
          </value>
        </values>
      </ddeItem>
      <ddeItem name="@CTA[8-2-5-2-4-2461,J,2,#6]" advise="1">
        <values>
          <value>
            <val>0</val>
          </value>
        </values>
      </ddeItem>
      <ddeItem name="@CTA[8-2-5-2-4-2461,J,3,#6]" advise="1">
        <values>
          <value>
            <val>0</val>
          </value>
        </values>
      </ddeItem>
      <ddeItem name="@CTA[8-2-5-2-4-2461,J,4,#6]" advise="1">
        <values>
          <value>
            <val>0</val>
          </value>
        </values>
      </ddeItem>
      <ddeItem name="@CTA[8-2-5-2-4-2461,J,5,#6]" advise="1">
        <values>
          <value>
            <val>0</val>
          </value>
        </values>
      </ddeItem>
      <ddeItem name="@CTA[8-2-5-2-4-2461,J,6,#6]" advise="1">
        <values>
          <value>
            <val>0</val>
          </value>
        </values>
      </ddeItem>
      <ddeItem name="@CTA[8-2-5-2-4-2461,J,7,#6]" advise="1">
        <values>
          <value>
            <val>32.74</val>
          </value>
        </values>
      </ddeItem>
      <ddeItem name="@CTA[8-2-5-2-4-2461,J,8,#6]" advise="1">
        <values>
          <value>
            <val>0</val>
          </value>
        </values>
      </ddeItem>
      <ddeItem name="@CTA[8-2-5-2-4-2461,J,9,#6]" advise="1">
        <values>
          <value>
            <val>0</val>
          </value>
        </values>
      </ddeItem>
      <ddeItem name="@CTA[8-2-5-2-4-2471,J,1,#6]" advise="1">
        <values>
          <value>
            <val>759.12</val>
          </value>
        </values>
      </ddeItem>
      <ddeItem name="@CTA[8-2-5-2-4-2471,J,2,#6]" advise="1">
        <values>
          <value>
            <val>0</val>
          </value>
        </values>
      </ddeItem>
      <ddeItem name="@CTA[8-2-5-2-4-2471,J,3,#6]" advise="1">
        <values>
          <value>
            <val>180</val>
          </value>
        </values>
      </ddeItem>
      <ddeItem name="@CTA[8-2-5-2-4-2471,J,4,#6]" advise="1">
        <values>
          <value>
            <val>0</val>
          </value>
        </values>
      </ddeItem>
      <ddeItem name="@CTA[8-2-5-2-4-2471,J,5,#6]" advise="1">
        <values>
          <value>
            <val>0</val>
          </value>
        </values>
      </ddeItem>
      <ddeItem name="@CTA[8-2-5-2-4-2471,J,6,#6]" advise="1">
        <values>
          <value>
            <val>0</val>
          </value>
        </values>
      </ddeItem>
      <ddeItem name="@CTA[8-2-5-2-4-2471,J,7,#6]" advise="1">
        <values>
          <value>
            <val>9080</val>
          </value>
        </values>
      </ddeItem>
      <ddeItem name="@CTA[8-2-5-2-4-2471,J,8,#6]" advise="1">
        <values>
          <value>
            <val>0</val>
          </value>
        </values>
      </ddeItem>
      <ddeItem name="@CTA[8-2-5-2-4-2471,J,9,#6]" advise="1">
        <values>
          <value t="nil">
            <val>1</val>
          </value>
        </values>
      </ddeItem>
      <ddeItem name="@CTA[8-2-5-2-4-2481,J,1,#6]" advise="1">
        <values>
          <value t="nil">
            <val>1</val>
          </value>
        </values>
      </ddeItem>
      <ddeItem name="@CTA[8-2-5-2-4-2481,J,2,#6]" advise="1">
        <values>
          <value t="nil">
            <val>1</val>
          </value>
        </values>
      </ddeItem>
      <ddeItem name="@CTA[8-2-5-2-4-2481,J,3,#6]" advise="1">
        <values>
          <value t="nil">
            <val>1</val>
          </value>
        </values>
      </ddeItem>
      <ddeItem name="@CTA[8-2-5-2-4-2481,J,4,#6]" advise="1">
        <values>
          <value t="nil">
            <val>1</val>
          </value>
        </values>
      </ddeItem>
      <ddeItem name="@CTA[8-2-5-2-4-2481,J,5,#6]" advise="1">
        <values>
          <value t="nil">
            <val>1</val>
          </value>
        </values>
      </ddeItem>
      <ddeItem name="@CTA[8-2-5-2-4-2481,J,6,#6]" advise="1">
        <values>
          <value t="nil">
            <val>1</val>
          </value>
        </values>
      </ddeItem>
      <ddeItem name="@CTA[8-2-5-2-4-2481,J,7,#6]" advise="1">
        <values>
          <value t="nil">
            <val>1</val>
          </value>
        </values>
      </ddeItem>
      <ddeItem name="@CTA[8-2-5-2-4-2481,J,8,#6]" advise="1">
        <values>
          <value t="nil">
            <val>1</val>
          </value>
        </values>
      </ddeItem>
      <ddeItem name="@CTA[8-2-5-2-4-2481,J,9,#6]" advise="1">
        <values>
          <value t="nil">
            <val>1</val>
          </value>
        </values>
      </ddeItem>
      <ddeItem name="@CTA[8-2-5-2-4-2491,J,1,#6]" advise="1">
        <values>
          <value>
            <val>203122.40000000002</val>
          </value>
        </values>
      </ddeItem>
      <ddeItem name="@CTA[8-2-5-2-4-2491,J,2,#6]" advise="1">
        <values>
          <value t="nil">
            <val>1</val>
          </value>
        </values>
      </ddeItem>
      <ddeItem name="@CTA[8-2-5-2-4-2491,J,3,#6]" advise="1">
        <values>
          <value t="nil">
            <val>1</val>
          </value>
        </values>
      </ddeItem>
      <ddeItem name="@CTA[8-2-5-2-4-2491,J,4,#6]" advise="1">
        <values>
          <value t="nil">
            <val>1</val>
          </value>
        </values>
      </ddeItem>
      <ddeItem name="@CTA[8-2-5-2-4-2491,J,5,#6]" advise="1">
        <values>
          <value>
            <val>252904</val>
          </value>
        </values>
      </ddeItem>
      <ddeItem name="@CTA[8-2-5-2-4-2491,J,6,#6]" advise="1">
        <values>
          <value>
            <val>0</val>
          </value>
        </values>
      </ddeItem>
      <ddeItem name="@CTA[8-2-5-2-4-2491,J,7,#6]" advise="1">
        <values>
          <value t="nil">
            <val>1</val>
          </value>
        </values>
      </ddeItem>
      <ddeItem name="@CTA[8-2-5-2-4-2491,J,8,#6]" advise="1">
        <values>
          <value t="nil">
            <val>1</val>
          </value>
        </values>
      </ddeItem>
      <ddeItem name="@CTA[8-2-5-2-4-2491,J,9,#6]" advise="1">
        <values>
          <value t="nil">
            <val>1</val>
          </value>
        </values>
      </ddeItem>
      <ddeItem name="@CTA[8-2-5-2-4-2492,J,1,#6]" advise="1">
        <values>
          <value>
            <val>209077.21000000002</val>
          </value>
        </values>
      </ddeItem>
      <ddeItem name="@CTA[8-2-5-2-4-2492,J,2,#6]" advise="1">
        <values>
          <value t="nil">
            <val>1</val>
          </value>
        </values>
      </ddeItem>
      <ddeItem name="@CTA[8-2-5-2-4-2492,J,3,#6]" advise="1">
        <values>
          <value>
            <val>0</val>
          </value>
        </values>
      </ddeItem>
      <ddeItem name="@CTA[8-2-5-2-4-2492,J,4,#6]" advise="1">
        <values>
          <value t="nil">
            <val>1</val>
          </value>
        </values>
      </ddeItem>
      <ddeItem name="@CTA[8-2-5-2-4-2492,J,5,#6]" advise="1">
        <values>
          <value t="nil">
            <val>1</val>
          </value>
        </values>
      </ddeItem>
      <ddeItem name="@CTA[8-2-5-2-4-2492,J,6,#6]" advise="1">
        <values>
          <value t="nil">
            <val>1</val>
          </value>
        </values>
      </ddeItem>
      <ddeItem name="@CTA[8-2-5-2-4-2492,J,7,#6]" advise="1">
        <values>
          <value>
            <val>0</val>
          </value>
        </values>
      </ddeItem>
      <ddeItem name="@CTA[8-2-5-2-4-2492,J,8,#6]" advise="1">
        <values>
          <value>
            <val>0</val>
          </value>
        </values>
      </ddeItem>
      <ddeItem name="@CTA[8-2-5-2-4-2492,J,9,#6]" advise="1">
        <values>
          <value t="nil">
            <val>1</val>
          </value>
        </values>
      </ddeItem>
      <ddeItem name="@CTA[8-2-5-2-5,J,#5]" advise="1">
        <values>
          <value>
            <val>125237.51000000001</val>
          </value>
        </values>
      </ddeItem>
      <ddeItem name="@CTA[8-2-5-2-5-2531,J,1,#6]" advise="1">
        <values>
          <value t="nil">
            <val>1</val>
          </value>
        </values>
      </ddeItem>
      <ddeItem name="@CTA[8-2-5-2-5-2531,J,2,#6]" advise="1">
        <values>
          <value t="nil">
            <val>1</val>
          </value>
        </values>
      </ddeItem>
      <ddeItem name="@CTA[8-2-5-2-5-2531,J,3,#6]" advise="1">
        <values>
          <value>
            <val>0</val>
          </value>
        </values>
      </ddeItem>
      <ddeItem name="@CTA[8-2-5-2-5-2531,J,4,#6]" advise="1">
        <values>
          <value t="nil">
            <val>1</val>
          </value>
        </values>
      </ddeItem>
      <ddeItem name="@CTA[8-2-5-2-5-2531,J,5,#6]" advise="1">
        <values>
          <value t="nil">
            <val>1</val>
          </value>
        </values>
      </ddeItem>
      <ddeItem name="@CTA[8-2-5-2-5-2531,J,6,#6]" advise="1">
        <values>
          <value t="nil">
            <val>1</val>
          </value>
        </values>
      </ddeItem>
      <ddeItem name="@CTA[8-2-5-2-5-2531,J,7,#6]" advise="1">
        <values>
          <value>
            <val>0</val>
          </value>
        </values>
      </ddeItem>
      <ddeItem name="@CTA[8-2-5-2-5-2531,J,8,#6]" advise="1">
        <values>
          <value t="nil">
            <val>1</val>
          </value>
        </values>
      </ddeItem>
      <ddeItem name="@CTA[8-2-5-2-5-2531,J,9,#6]" advise="1">
        <values>
          <value t="nil">
            <val>1</val>
          </value>
        </values>
      </ddeItem>
      <ddeItem name="@CTA[8-2-5-2-5-2551,J,1,#6]" advise="1">
        <values>
          <value t="nil">
            <val>1</val>
          </value>
        </values>
      </ddeItem>
      <ddeItem name="@CTA[8-2-5-2-5-2551,J,2,#6]" advise="1">
        <values>
          <value t="nil">
            <val>1</val>
          </value>
        </values>
      </ddeItem>
      <ddeItem name="@CTA[8-2-5-2-5-2551,J,3,#6]" advise="1">
        <values>
          <value t="nil">
            <val>1</val>
          </value>
        </values>
      </ddeItem>
      <ddeItem name="@CTA[8-2-5-2-5-2551,J,4,#6]" advise="1">
        <values>
          <value t="nil">
            <val>1</val>
          </value>
        </values>
      </ddeItem>
      <ddeItem name="@CTA[8-2-5-2-5-2551,J,5,#6]" advise="1">
        <values>
          <value t="nil">
            <val>1</val>
          </value>
        </values>
      </ddeItem>
      <ddeItem name="@CTA[8-2-5-2-5-2551,J,6,#6]" advise="1">
        <values>
          <value t="nil">
            <val>1</val>
          </value>
        </values>
      </ddeItem>
      <ddeItem name="@CTA[8-2-5-2-5-2551,J,7,#6]" advise="1">
        <values>
          <value>
            <val>0</val>
          </value>
        </values>
      </ddeItem>
      <ddeItem name="@CTA[8-2-5-2-5-2551,J,8,#6]" advise="1">
        <values>
          <value t="nil">
            <val>1</val>
          </value>
        </values>
      </ddeItem>
      <ddeItem name="@CTA[8-2-5-2-5-2551,J,9,#6]" advise="1">
        <values>
          <value t="nil">
            <val>1</val>
          </value>
        </values>
      </ddeItem>
      <ddeItem name="@CTA[8-2-5-2-5-2591,J,1,#6]" advise="1">
        <values>
          <value>
            <val>125048.93</val>
          </value>
        </values>
      </ddeItem>
      <ddeItem name="@CTA[8-2-5-2-5-2591,J,2,#6]" advise="1">
        <values>
          <value>
            <val>26.94</val>
          </value>
        </values>
      </ddeItem>
      <ddeItem name="@CTA[8-2-5-2-5-2591,J,3,#6]" advise="1">
        <values>
          <value>
            <val>26.94</val>
          </value>
        </values>
      </ddeItem>
      <ddeItem name="@CTA[8-2-5-2-5-2591,J,4,#6]" advise="1">
        <values>
          <value>
            <val>26.94</val>
          </value>
        </values>
      </ddeItem>
      <ddeItem name="@CTA[8-2-5-2-5-2591,J,5,#6]" advise="1">
        <values>
          <value>
            <val>26.94</val>
          </value>
        </values>
      </ddeItem>
      <ddeItem name="@CTA[8-2-5-2-5-2591,J,6,#6]" advise="1">
        <values>
          <value>
            <val>26.94</val>
          </value>
        </values>
      </ddeItem>
      <ddeItem name="@CTA[8-2-5-2-5-2591,J,7,#6]" advise="1">
        <values>
          <value>
            <val>26.94</val>
          </value>
        </values>
      </ddeItem>
      <ddeItem name="@CTA[8-2-5-2-5-2591,J,8,#6]" advise="1">
        <values>
          <value>
            <val>26.94</val>
          </value>
        </values>
      </ddeItem>
      <ddeItem name="@CTA[8-2-5-2-5-2591,J,9,#6]" advise="1">
        <values>
          <value>
            <val>0</val>
          </value>
        </values>
      </ddeItem>
      <ddeItem name="@CTA[8-2-5-2-6,J,#5]" advise="1">
        <values>
          <value>
            <val>177352.27000000002</val>
          </value>
        </values>
      </ddeItem>
      <ddeItem name="@CTA[8-2-5-2-6-2611,J,1,#6]" advise="1">
        <values>
          <value>
            <val>0</val>
          </value>
        </values>
      </ddeItem>
      <ddeItem name="@CTA[8-2-5-2-6-2611,J,2,#6]" advise="1">
        <values>
          <value>
            <val>5321.0499999999993</val>
          </value>
        </values>
      </ddeItem>
      <ddeItem name="@CTA[8-2-5-2-6-2611,J,3,#6]" advise="1">
        <values>
          <value t="nil">
            <val>1</val>
          </value>
        </values>
      </ddeItem>
      <ddeItem name="@CTA[8-2-5-2-6-2611,J,4,#6]" advise="1">
        <values>
          <value>
            <val>0</val>
          </value>
        </values>
      </ddeItem>
      <ddeItem name="@CTA[8-2-5-2-6-2611,J,5,#6]" advise="1">
        <values>
          <value>
            <val>915.59</val>
          </value>
        </values>
      </ddeItem>
      <ddeItem name="@CTA[8-2-5-2-6-2611,J,6,#6]" advise="1">
        <values>
          <value t="nil">
            <val>1</val>
          </value>
        </values>
      </ddeItem>
      <ddeItem name="@CTA[8-2-5-2-6-2611,J,7,#6]" advise="1">
        <values>
          <value>
            <val>7670.68</val>
          </value>
        </values>
      </ddeItem>
      <ddeItem name="@CTA[8-2-5-2-6-2611,J,8,#6]" advise="1">
        <values>
          <value>
            <val>2430.08</val>
          </value>
        </values>
      </ddeItem>
      <ddeItem name="@CTA[8-2-5-2-6-2611,J,9,#6]" advise="1">
        <values>
          <value>
            <val>5001.5599999999995</val>
          </value>
        </values>
      </ddeItem>
      <ddeItem name="@CTA[8-2-5-2-6-2612,J,1,#6]" advise="1">
        <values>
          <value>
            <val>152122.88</val>
          </value>
        </values>
      </ddeItem>
      <ddeItem name="@CTA[8-2-5-2-6-2612,J,2,#6]" advise="1">
        <values>
          <value t="nil">
            <val>1</val>
          </value>
        </values>
      </ddeItem>
      <ddeItem name="@CTA[8-2-5-2-6-2612,J,3,#6]" advise="1">
        <values>
          <value t="nil">
            <val>1</val>
          </value>
        </values>
      </ddeItem>
      <ddeItem name="@CTA[8-2-5-2-6-2612,J,4,#6]" advise="1">
        <values>
          <value t="nil">
            <val>1</val>
          </value>
        </values>
      </ddeItem>
      <ddeItem name="@CTA[8-2-5-2-6-2612,J,5,#6]" advise="1">
        <values>
          <value t="nil">
            <val>1</val>
          </value>
        </values>
      </ddeItem>
      <ddeItem name="@CTA[8-2-5-2-6-2612,J,6,#6]" advise="1">
        <values>
          <value t="nil">
            <val>1</val>
          </value>
        </values>
      </ddeItem>
      <ddeItem name="@CTA[8-2-5-2-6-2612,J,7,#6]" advise="1">
        <values>
          <value>
            <val>3890.4300000000003</val>
          </value>
        </values>
      </ddeItem>
      <ddeItem name="@CTA[8-2-5-2-6-2612,J,8,#6]" advise="1">
        <values>
          <value>
            <val>0</val>
          </value>
        </values>
      </ddeItem>
      <ddeItem name="@CTA[8-2-5-2-6-2612,J,9,#6]" advise="1">
        <values>
          <value t="nil">
            <val>1</val>
          </value>
        </values>
      </ddeItem>
      <ddeItem name="@CTA[8-2-5-2-7,J,#5]" advise="1">
        <values>
          <value>
            <val>130730.80000000002</val>
          </value>
        </values>
      </ddeItem>
      <ddeItem name="@CTA[8-2-5-2-7-2711,J,1,#6]" advise="1">
        <values>
          <value>
            <val>5058.0599999999995</val>
          </value>
        </values>
      </ddeItem>
      <ddeItem name="@CTA[8-2-5-2-7-2711,J,2,#6]" advise="1">
        <values>
          <value>
            <val>8689.68</val>
          </value>
        </values>
      </ddeItem>
      <ddeItem name="@CTA[8-2-5-2-7-2711,J,3,#6]" advise="1">
        <values>
          <value>
            <val>4980</val>
          </value>
        </values>
      </ddeItem>
      <ddeItem name="@CTA[8-2-5-2-7-2711,J,4,#6]" advise="1">
        <values>
          <value>
            <val>15796.02</val>
          </value>
        </values>
      </ddeItem>
      <ddeItem name="@CTA[8-2-5-2-7-2711,J,5,#6]" advise="1">
        <values>
          <value>
            <val>6692.04</val>
          </value>
        </values>
      </ddeItem>
      <ddeItem name="@CTA[8-2-5-2-7-2711,J,6,#6]" advise="1">
        <values>
          <value>
            <val>1712.04</val>
          </value>
        </values>
      </ddeItem>
      <ddeItem name="@CTA[8-2-5-2-7-2711,J,7,#6]" advise="1">
        <values>
          <value>
            <val>856.02</val>
          </value>
        </values>
      </ddeItem>
      <ddeItem name="@CTA[8-2-5-2-7-2711,J,8,#6]" advise="1">
        <values>
          <value>
            <val>1712.04</val>
          </value>
        </values>
      </ddeItem>
      <ddeItem name="@CTA[8-2-5-2-7-2711,J,9,#6]" advise="1">
        <values>
          <value>
            <val>4201.1000000000004</val>
          </value>
        </values>
      </ddeItem>
      <ddeItem name="@CTA[8-2-5-2-7-2712,J,1,#6]" advise="1">
        <values>
          <value>
            <val>49212.54</val>
          </value>
        </values>
      </ddeItem>
      <ddeItem name="@CTA[8-2-5-2-7-2712,J,2,#6]" advise="1">
        <values>
          <value>
            <val>587.4</val>
          </value>
        </values>
      </ddeItem>
      <ddeItem name="@CTA[8-2-5-2-7-2712,J,3,#6]" advise="1">
        <values>
          <value>
            <val>7994.62</val>
          </value>
        </values>
      </ddeItem>
      <ddeItem name="@CTA[8-2-5-2-7-2712,J,4,#6]" advise="1">
        <values>
          <value>
            <val>0</val>
          </value>
        </values>
      </ddeItem>
      <ddeItem name="@CTA[8-2-5-2-7-2712,J,5,#6]" advise="1">
        <values>
          <value>
            <val>9317.7799999999988</val>
          </value>
        </values>
      </ddeItem>
      <ddeItem name="@CTA[8-2-5-2-7-2712,J,6,#6]" advise="1">
        <values>
          <value t="nil">
            <val>1</val>
          </value>
        </values>
      </ddeItem>
      <ddeItem name="@CTA[8-2-5-2-7-2712,J,7,#6]" advise="1">
        <values>
          <value>
            <val>12808</val>
          </value>
        </values>
      </ddeItem>
      <ddeItem name="@CTA[8-2-5-2-7-2712,J,8,#6]" advise="1">
        <values>
          <value t="nil">
            <val>1</val>
          </value>
        </values>
      </ddeItem>
      <ddeItem name="@CTA[8-2-5-2-7-2712,J,9,#6]" advise="1">
        <values>
          <value t="nil">
            <val>1</val>
          </value>
        </values>
      </ddeItem>
      <ddeItem name="@CTA[8-2-5-2-7-2721,J,1,#6]" advise="1">
        <values>
          <value>
            <val>449.24</val>
          </value>
        </values>
      </ddeItem>
      <ddeItem name="@CTA[8-2-5-2-7-2721,J,2,#6]" advise="1">
        <values>
          <value>
            <val>0</val>
          </value>
        </values>
      </ddeItem>
      <ddeItem name="@CTA[8-2-5-2-7-2721,J,3,#6]" advise="1">
        <values>
          <value>
            <val>0</val>
          </value>
        </values>
      </ddeItem>
      <ddeItem name="@CTA[8-2-5-2-7-2721,J,4,#6]" advise="1">
        <values>
          <value>
            <val>0</val>
          </value>
        </values>
      </ddeItem>
      <ddeItem name="@CTA[8-2-5-2-7-2721,J,5,#6]" advise="1">
        <values>
          <value>
            <val>0</val>
          </value>
        </values>
      </ddeItem>
      <ddeItem name="@CTA[8-2-5-2-7-2721,J,6,#6]" advise="1">
        <values>
          <value>
            <val>0</val>
          </value>
        </values>
      </ddeItem>
      <ddeItem name="@CTA[8-2-5-2-7-2721,J,7,#6]" advise="1">
        <values>
          <value>
            <val>544.22</val>
          </value>
        </values>
      </ddeItem>
      <ddeItem name="@CTA[8-2-5-2-7-2721,J,8,#6]" advise="1">
        <values>
          <value>
            <val>120</val>
          </value>
        </values>
      </ddeItem>
      <ddeItem name="@CTA[8-2-5-2-7-2721,J,9,#6]" advise="1">
        <values>
          <value>
            <val>0</val>
          </value>
        </values>
      </ddeItem>
      <ddeItem name="@CTA[8-2-5-2-7-2731,J,1,#6]" advise="1">
        <values>
          <value>
            <val>0</val>
          </value>
        </values>
      </ddeItem>
      <ddeItem name="@CTA[8-2-5-2-7-2731,J,2,#6]" advise="1">
        <values>
          <value t="nil">
            <val>1</val>
          </value>
        </values>
      </ddeItem>
      <ddeItem name="@CTA[8-2-5-2-7-2731,J,3,#6]" advise="1">
        <values>
          <value t="nil">
            <val>1</val>
          </value>
        </values>
      </ddeItem>
      <ddeItem name="@CTA[8-2-5-2-7-2731,J,4,#6]" advise="1">
        <values>
          <value t="nil">
            <val>1</val>
          </value>
        </values>
      </ddeItem>
      <ddeItem name="@CTA[8-2-5-2-7-2731,J,5,#6]" advise="1">
        <values>
          <value t="nil">
            <val>1</val>
          </value>
        </values>
      </ddeItem>
      <ddeItem name="@CTA[8-2-5-2-7-2731,J,6,#6]" advise="1">
        <values>
          <value t="nil">
            <val>1</val>
          </value>
        </values>
      </ddeItem>
      <ddeItem name="@CTA[8-2-5-2-7-2731,J,7,#6]" advise="1">
        <values>
          <value>
            <val>0</val>
          </value>
        </values>
      </ddeItem>
      <ddeItem name="@CTA[8-2-5-2-7-2731,J,8,#6]" advise="1">
        <values>
          <value t="nil">
            <val>1</val>
          </value>
        </values>
      </ddeItem>
      <ddeItem name="@CTA[8-2-5-2-7-2731,J,9,#6]" advise="1">
        <values>
          <value t="nil">
            <val>1</val>
          </value>
        </values>
      </ddeItem>
      <ddeItem name="@CTA[8-2-5-2-8,J,#5]" advise="1">
        <values>
          <value t="nil">
            <val>1</val>
          </value>
        </values>
      </ddeItem>
      <ddeItem name="@CTA[8-2-5-2-9,J,#5]" advise="1">
        <values>
          <value>
            <val>22553.83</val>
          </value>
        </values>
      </ddeItem>
      <ddeItem name="@CTA[8-2-5-2-9-2911,J,1,#6]" advise="1">
        <values>
          <value>
            <val>17816.080000000002</val>
          </value>
        </values>
      </ddeItem>
      <ddeItem name="@CTA[8-2-5-2-9-2911,J,2,#6]" advise="1">
        <values>
          <value>
            <val>0</val>
          </value>
        </values>
      </ddeItem>
      <ddeItem name="@CTA[8-2-5-2-9-2911,J,3,#6]" advise="1">
        <values>
          <value>
            <val>655.43000000000006</val>
          </value>
        </values>
      </ddeItem>
      <ddeItem name="@CTA[8-2-5-2-9-2911,J,4,#6]" advise="1">
        <values>
          <value>
            <val>0</val>
          </value>
        </values>
      </ddeItem>
      <ddeItem name="@CTA[8-2-5-2-9-2911,J,5,#6]" advise="1">
        <values>
          <value>
            <val>1031</val>
          </value>
        </values>
      </ddeItem>
      <ddeItem name="@CTA[8-2-5-2-9-2911,J,6,#6]" advise="1">
        <values>
          <value>
            <val>719.99</val>
          </value>
        </values>
      </ddeItem>
      <ddeItem name="@CTA[8-2-5-2-9-2911,J,7,#6]" advise="1">
        <values>
          <value>
            <val>1165.02</val>
          </value>
        </values>
      </ddeItem>
      <ddeItem name="@CTA[8-2-5-2-9-2911,J,8,#6]" advise="1">
        <values>
          <value>
            <val>826.22</val>
          </value>
        </values>
      </ddeItem>
      <ddeItem name="@CTA[8-2-5-2-9-2911,J,9,#6]" advise="1">
        <values>
          <value>
            <val>340.09</val>
          </value>
        </values>
      </ddeItem>
      <ddeItem name="@CTA[8-2-5-3,J,#4]" advise="1">
        <values>
          <value>
            <val>4423897.8699999992</val>
          </value>
        </values>
      </ddeItem>
      <ddeItem name="@CTA[8-2-5-3-1,J,#5]" advise="1">
        <values>
          <value>
            <val>2018472.0299999989</val>
          </value>
        </values>
      </ddeItem>
      <ddeItem name="@CTA[8-2-5-3-1-3111,J,1,#6]" advise="1">
        <values>
          <value>
            <val>1650375.4099999997</val>
          </value>
        </values>
      </ddeItem>
      <ddeItem name="@CTA[8-2-5-3-1-3111,J,2,#6]" advise="1">
        <values>
          <value>
            <val>2187.1799999999998</val>
          </value>
        </values>
      </ddeItem>
      <ddeItem name="@CTA[8-2-5-3-1-3111,J,3,#6]" advise="1">
        <values>
          <value>
            <val>2187.1799999999998</val>
          </value>
        </values>
      </ddeItem>
      <ddeItem name="@CTA[8-2-5-3-1-3111,J,4,#6]" advise="1">
        <values>
          <value>
            <val>2187.1799999999998</val>
          </value>
        </values>
      </ddeItem>
      <ddeItem name="@CTA[8-2-5-3-1-3111,J,5,#6]" advise="1">
        <values>
          <value>
            <val>2187.19</val>
          </value>
        </values>
      </ddeItem>
      <ddeItem name="@CTA[8-2-5-3-1-3111,J,6,#6]" advise="1">
        <values>
          <value>
            <val>2187.19</val>
          </value>
        </values>
      </ddeItem>
      <ddeItem name="@CTA[8-2-5-3-1-3111,J,7,#6]" advise="1">
        <values>
          <value>
            <val>336158.48</val>
          </value>
        </values>
      </ddeItem>
      <ddeItem name="@CTA[8-2-5-3-1-3111,J,8,#6]" advise="1">
        <values>
          <value>
            <val>2187.19</val>
          </value>
        </values>
      </ddeItem>
      <ddeItem name="@CTA[8-2-5-3-1-3111,J,9,#6]" advise="1">
        <values>
          <value>
            <val>2187.19</val>
          </value>
        </values>
      </ddeItem>
      <ddeItem name="@CTA[8-2-5-3-1-3131,J,1,#6]" advise="1">
        <values>
          <value>
            <val>182.39000000000001</val>
          </value>
        </values>
      </ddeItem>
      <ddeItem name="@CTA[8-2-5-3-1-3131,J,2,#6]" advise="1">
        <values>
          <value>
            <val>182.39000000000001</val>
          </value>
        </values>
      </ddeItem>
      <ddeItem name="@CTA[8-2-5-3-1-3131,J,3,#6]" advise="1">
        <values>
          <value>
            <val>182.39000000000001</val>
          </value>
        </values>
      </ddeItem>
      <ddeItem name="@CTA[8-2-5-3-1-3131,J,4,#6]" advise="1">
        <values>
          <value>
            <val>182.39000000000001</val>
          </value>
        </values>
      </ddeItem>
      <ddeItem name="@CTA[8-2-5-3-1-3131,J,5,#6]" advise="1">
        <values>
          <value>
            <val>182.4</val>
          </value>
        </values>
      </ddeItem>
      <ddeItem name="@CTA[8-2-5-3-1-3131,J,6,#6]" advise="1">
        <values>
          <value>
            <val>182.4</val>
          </value>
        </values>
      </ddeItem>
      <ddeItem name="@CTA[8-2-5-3-1-3131,J,7,#6]" advise="1">
        <values>
          <value>
            <val>182.4</val>
          </value>
        </values>
      </ddeItem>
      <ddeItem name="@CTA[8-2-5-3-1-3131,J,8,#6]" advise="1">
        <values>
          <value>
            <val>182.4</val>
          </value>
        </values>
      </ddeItem>
      <ddeItem name="@CTA[8-2-5-3-1-3131,J,9,#6]" advise="1">
        <values>
          <value>
            <val>182.41</val>
          </value>
        </values>
      </ddeItem>
      <ddeItem name="@CTA[8-2-5-3-1-3141,J,1,#6]" advise="1">
        <values>
          <value>
            <val>1091.02</val>
          </value>
        </values>
      </ddeItem>
      <ddeItem name="@CTA[8-2-5-3-1-3141,J,2,#6]" advise="1">
        <values>
          <value>
            <val>1091.02</val>
          </value>
        </values>
      </ddeItem>
      <ddeItem name="@CTA[8-2-5-3-1-3141,J,3,#6]" advise="1">
        <values>
          <value>
            <val>1091.02</val>
          </value>
        </values>
      </ddeItem>
      <ddeItem name="@CTA[8-2-5-3-1-3141,J,4,#6]" advise="1">
        <values>
          <value>
            <val>1091.02</val>
          </value>
        </values>
      </ddeItem>
      <ddeItem name="@CTA[8-2-5-3-1-3141,J,5,#6]" advise="1">
        <values>
          <value>
            <val>1091.02</val>
          </value>
        </values>
      </ddeItem>
      <ddeItem name="@CTA[8-2-5-3-1-3141,J,6,#6]" advise="1">
        <values>
          <value>
            <val>1091.01</val>
          </value>
        </values>
      </ddeItem>
      <ddeItem name="@CTA[8-2-5-3-1-3141,J,7,#6]" advise="1">
        <values>
          <value>
            <val>1091</val>
          </value>
        </values>
      </ddeItem>
      <ddeItem name="@CTA[8-2-5-3-1-3141,J,8,#6]" advise="1">
        <values>
          <value>
            <val>1090.98</val>
          </value>
        </values>
      </ddeItem>
      <ddeItem name="@CTA[8-2-5-3-1-3141,J,9,#6]" advise="1">
        <values>
          <value>
            <val>1090.97</val>
          </value>
        </values>
      </ddeItem>
      <ddeItem name="@CTA[8-2-5-3-1-3161,J,1,#6]" advise="1">
        <values>
          <value>
            <val>3068.26</val>
          </value>
        </values>
      </ddeItem>
      <ddeItem name="@CTA[8-2-5-3-1-3161,J,2,#6]" advise="1">
        <values>
          <value>
            <val>2098.9499999999998</val>
          </value>
        </values>
      </ddeItem>
      <ddeItem name="@CTA[8-2-5-3-1-3161,J,3,#6]" advise="1">
        <values>
          <value>
            <val>0</val>
          </value>
        </values>
      </ddeItem>
      <ddeItem name="@CTA[8-2-5-3-1-3161,J,4,#6]" advise="1">
        <values>
          <value>
            <val>0</val>
          </value>
        </values>
      </ddeItem>
      <ddeItem name="@CTA[8-2-5-3-1-3161,J,5,#6]" advise="1">
        <values>
          <value>
            <val>0</val>
          </value>
        </values>
      </ddeItem>
      <ddeItem name="@CTA[8-2-5-3-1-3161,J,6,#6]" advise="1">
        <values>
          <value>
            <val>0</val>
          </value>
        </values>
      </ddeItem>
      <ddeItem name="@CTA[8-2-5-3-1-3161,J,7,#6]" advise="1">
        <values>
          <value>
            <val>0</val>
          </value>
        </values>
      </ddeItem>
      <ddeItem name="@CTA[8-2-5-3-1-3161,J,8,#6]" advise="1">
        <values>
          <value>
            <val>0</val>
          </value>
        </values>
      </ddeItem>
      <ddeItem name="@CTA[8-2-5-3-1-3161,J,9,#6]" advise="1">
        <values>
          <value>
            <val>0</val>
          </value>
        </values>
      </ddeItem>
      <ddeItem name="@CTA[8-2-5-3-1-3171,J,1,#6]" advise="1">
        <values>
          <value>
            <val>0</val>
          </value>
        </values>
      </ddeItem>
      <ddeItem name="@CTA[8-2-5-3-1-3171,J,2,#6]" advise="1">
        <values>
          <value>
            <val>0</val>
          </value>
        </values>
      </ddeItem>
      <ddeItem name="@CTA[8-2-5-3-1-3171,J,3,#6]" advise="1">
        <values>
          <value>
            <val>0</val>
          </value>
        </values>
      </ddeItem>
      <ddeItem name="@CTA[8-2-5-3-1-3171,J,4,#6]" advise="1">
        <values>
          <value>
            <val>0</val>
          </value>
        </values>
      </ddeItem>
      <ddeItem name="@CTA[8-2-5-3-1-3171,J,5,#6]" advise="1">
        <values>
          <value>
            <val>0</val>
          </value>
        </values>
      </ddeItem>
      <ddeItem name="@CTA[8-2-5-3-1-3171,J,6,#6]" advise="1">
        <values>
          <value>
            <val>0</val>
          </value>
        </values>
      </ddeItem>
      <ddeItem name="@CTA[8-2-5-3-1-3171,J,7,#6]" advise="1">
        <values>
          <value>
            <val>0</val>
          </value>
        </values>
      </ddeItem>
      <ddeItem name="@CTA[8-2-5-3-1-3171,J,8,#6]" advise="1">
        <values>
          <value>
            <val>0</val>
          </value>
        </values>
      </ddeItem>
      <ddeItem name="@CTA[8-2-5-3-1-3171,J,9,#6]" advise="1">
        <values>
          <value>
            <val>0</val>
          </value>
        </values>
      </ddeItem>
      <ddeItem name="@CTA[8-2-5-3-1-3181,J,1,#6]" advise="1">
        <values>
          <value>
            <val>0</val>
          </value>
        </values>
      </ddeItem>
      <ddeItem name="@CTA[8-2-5-3-1-3181,J,2,#6]" advise="1">
        <values>
          <value>
            <val>0</val>
          </value>
        </values>
      </ddeItem>
      <ddeItem name="@CTA[8-2-5-3-1-3181,J,3,#6]" advise="1">
        <values>
          <value t="nil">
            <val>1</val>
          </value>
        </values>
      </ddeItem>
      <ddeItem name="@CTA[8-2-5-3-1-3181,J,4,#6]" advise="1">
        <values>
          <value t="nil">
            <val>1</val>
          </value>
        </values>
      </ddeItem>
      <ddeItem name="@CTA[8-2-5-3-1-3181,J,5,#6]" advise="1">
        <values>
          <value t="nil">
            <val>1</val>
          </value>
        </values>
      </ddeItem>
      <ddeItem name="@CTA[8-2-5-3-1-3181,J,6,#6]" advise="1">
        <values>
          <value t="nil">
            <val>1</val>
          </value>
        </values>
      </ddeItem>
      <ddeItem name="@CTA[8-2-5-3-1-3181,J,7,#6]" advise="1">
        <values>
          <value t="nil">
            <val>1</val>
          </value>
        </values>
      </ddeItem>
      <ddeItem name="@CTA[8-2-5-3-1-3181,J,8,#6]" advise="1">
        <values>
          <value t="nil">
            <val>1</val>
          </value>
        </values>
      </ddeItem>
      <ddeItem name="@CTA[8-2-5-3-1-3181,J,9,#6]" advise="1">
        <values>
          <value t="nil">
            <val>1</val>
          </value>
        </values>
      </ddeItem>
      <ddeItem name="@CTA[8-2-5-3-1-3182,J,1,#6]" advise="1">
        <values>
          <value t="nil">
            <val>1</val>
          </value>
        </values>
      </ddeItem>
      <ddeItem name="@CTA[8-2-5-3-1-3182,J,2,#6]" advise="1">
        <values>
          <value t="nil">
            <val>1</val>
          </value>
        </values>
      </ddeItem>
      <ddeItem name="@CTA[8-2-5-3-1-3182,J,3,#6]" advise="1">
        <values>
          <value t="nil">
            <val>1</val>
          </value>
        </values>
      </ddeItem>
      <ddeItem name="@CTA[8-2-5-3-1-3182,J,4,#6]" advise="1">
        <values>
          <value t="nil">
            <val>1</val>
          </value>
        </values>
      </ddeItem>
      <ddeItem name="@CTA[8-2-5-3-1-3182,J,5,#6]" advise="1">
        <values>
          <value t="nil">
            <val>1</val>
          </value>
        </values>
      </ddeItem>
      <ddeItem name="@CTA[8-2-5-3-1-3182,J,6,#6]" advise="1">
        <values>
          <value t="nil">
            <val>1</val>
          </value>
        </values>
      </ddeItem>
      <ddeItem name="@CTA[8-2-5-3-1-3182,J,7,#6]" advise="1">
        <values>
          <value t="nil">
            <val>1</val>
          </value>
        </values>
      </ddeItem>
      <ddeItem name="@CTA[8-2-5-3-1-3182,J,8,#6]" advise="1">
        <values>
          <value t="nil">
            <val>1</val>
          </value>
        </values>
      </ddeItem>
      <ddeItem name="@CTA[8-2-5-3-1-3182,J,9,#6]" advise="1">
        <values>
          <value t="nil">
            <val>1</val>
          </value>
        </values>
      </ddeItem>
      <ddeItem name="@CTA[8-2-5-3-2,J,#5]" advise="1">
        <values>
          <value>
            <val>953.21000000000015</val>
          </value>
        </values>
      </ddeItem>
      <ddeItem name="@CTA[8-2-5-3-2-3211,J,1,#6]" advise="1">
        <values>
          <value>
            <val>0</val>
          </value>
        </values>
      </ddeItem>
      <ddeItem name="@CTA[8-2-5-3-2-3211,J,2,#6]" advise="1">
        <values>
          <value t="nil">
            <val>1</val>
          </value>
        </values>
      </ddeItem>
      <ddeItem name="@CTA[8-2-5-3-2-3211,J,3,#6]" advise="1">
        <values>
          <value t="nil">
            <val>1</val>
          </value>
        </values>
      </ddeItem>
      <ddeItem name="@CTA[8-2-5-3-2-3211,J,4,#6]" advise="1">
        <values>
          <value t="nil">
            <val>1</val>
          </value>
        </values>
      </ddeItem>
      <ddeItem name="@CTA[8-2-5-3-2-3211,J,5,#6]" advise="1">
        <values>
          <value t="nil">
            <val>1</val>
          </value>
        </values>
      </ddeItem>
      <ddeItem name="@CTA[8-2-5-3-2-3211,J,6,#6]" advise="1">
        <values>
          <value t="nil">
            <val>1</val>
          </value>
        </values>
      </ddeItem>
      <ddeItem name="@CTA[8-2-5-3-2-3211,J,7,#6]" advise="1">
        <values>
          <value t="nil">
            <val>1</val>
          </value>
        </values>
      </ddeItem>
      <ddeItem name="@CTA[8-2-5-3-2-3211,J,8,#6]" advise="1">
        <values>
          <value t="nil">
            <val>1</val>
          </value>
        </values>
      </ddeItem>
      <ddeItem name="@CTA[8-2-5-3-2-3211,J,9,#6]" advise="1">
        <values>
          <value t="nil">
            <val>1</val>
          </value>
        </values>
      </ddeItem>
      <ddeItem name="@CTA[8-2-5-3-2-3231,J,1,#6]" advise="1">
        <values>
          <value>
            <val>48</val>
          </value>
        </values>
      </ddeItem>
      <ddeItem name="@CTA[8-2-5-3-2-3231,J,2,#6]" advise="1">
        <values>
          <value>
            <val>0</val>
          </value>
        </values>
      </ddeItem>
      <ddeItem name="@CTA[8-2-5-3-2-3231,J,3,#6]" advise="1">
        <values>
          <value>
            <val>0</val>
          </value>
        </values>
      </ddeItem>
      <ddeItem name="@CTA[8-2-5-3-2-3231,J,4,#6]" advise="1">
        <values>
          <value>
            <val>0</val>
          </value>
        </values>
      </ddeItem>
      <ddeItem name="@CTA[8-2-5-3-2-3231,J,5,#6]" advise="1">
        <values>
          <value>
            <val>0</val>
          </value>
        </values>
      </ddeItem>
      <ddeItem name="@CTA[8-2-5-3-2-3231,J,6,#6]" advise="1">
        <values>
          <value>
            <val>0</val>
          </value>
        </values>
      </ddeItem>
      <ddeItem name="@CTA[8-2-5-3-2-3231,J,7,#6]" advise="1">
        <values>
          <value>
            <val>0</val>
          </value>
        </values>
      </ddeItem>
      <ddeItem name="@CTA[8-2-5-3-2-3231,J,8,#6]" advise="1">
        <values>
          <value>
            <val>0</val>
          </value>
        </values>
      </ddeItem>
      <ddeItem name="@CTA[8-2-5-3-2-3231,J,9,#6]" advise="1">
        <values>
          <value>
            <val>905.21000000000015</val>
          </value>
        </values>
      </ddeItem>
      <ddeItem name="@CTA[8-2-5-3-2-3261,J,1,#6]" advise="1">
        <values>
          <value t="nil">
            <val>1</val>
          </value>
        </values>
      </ddeItem>
      <ddeItem name="@CTA[8-2-5-3-2-3261,J,2,#6]" advise="1">
        <values>
          <value t="nil">
            <val>1</val>
          </value>
        </values>
      </ddeItem>
      <ddeItem name="@CTA[8-2-5-3-2-3261,J,3,#6]" advise="1">
        <values>
          <value t="nil">
            <val>1</val>
          </value>
        </values>
      </ddeItem>
      <ddeItem name="@CTA[8-2-5-3-2-3261,J,4,#6]" advise="1">
        <values>
          <value t="nil">
            <val>1</val>
          </value>
        </values>
      </ddeItem>
      <ddeItem name="@CTA[8-2-5-3-2-3261,J,5,#6]" advise="1">
        <values>
          <value t="nil">
            <val>1</val>
          </value>
        </values>
      </ddeItem>
      <ddeItem name="@CTA[8-2-5-3-2-3261,J,6,#6]" advise="1">
        <values>
          <value t="nil">
            <val>1</val>
          </value>
        </values>
      </ddeItem>
      <ddeItem name="@CTA[8-2-5-3-2-3261,J,7,#6]" advise="1">
        <values>
          <value t="nil">
            <val>1</val>
          </value>
        </values>
      </ddeItem>
      <ddeItem name="@CTA[8-2-5-3-2-3261,J,8,#6]" advise="1">
        <values>
          <value t="nil">
            <val>1</val>
          </value>
        </values>
      </ddeItem>
      <ddeItem name="@CTA[8-2-5-3-2-3261,J,9,#6]" advise="1">
        <values>
          <value t="nil">
            <val>1</val>
          </value>
        </values>
      </ddeItem>
      <ddeItem name="@CTA[8-2-5-3-2-3291,J,1,#6]" advise="1">
        <values>
          <value t="nil">
            <val>1</val>
          </value>
        </values>
      </ddeItem>
      <ddeItem name="@CTA[8-2-5-3-2-3291,J,2,#6]" advise="1">
        <values>
          <value t="nil">
            <val>1</val>
          </value>
        </values>
      </ddeItem>
      <ddeItem name="@CTA[8-2-5-3-2-3291,J,3,#6]" advise="1">
        <values>
          <value t="nil">
            <val>1</val>
          </value>
        </values>
      </ddeItem>
      <ddeItem name="@CTA[8-2-5-3-2-3291,J,4,#6]" advise="1">
        <values>
          <value t="nil">
            <val>1</val>
          </value>
        </values>
      </ddeItem>
      <ddeItem name="@CTA[8-2-5-3-2-3291,J,5,#6]" advise="1">
        <values>
          <value t="nil">
            <val>1</val>
          </value>
        </values>
      </ddeItem>
      <ddeItem name="@CTA[8-2-5-3-2-3291,J,6,#6]" advise="1">
        <values>
          <value t="nil">
            <val>1</val>
          </value>
        </values>
      </ddeItem>
      <ddeItem name="@CTA[8-2-5-3-2-3291,J,7,#6]" advise="1">
        <values>
          <value t="nil">
            <val>1</val>
          </value>
        </values>
      </ddeItem>
      <ddeItem name="@CTA[8-2-5-3-2-3291,J,8,#6]" advise="1">
        <values>
          <value>
            <val>0</val>
          </value>
        </values>
      </ddeItem>
      <ddeItem name="@CTA[8-2-5-3-2-3291,J,9,#6]" advise="1">
        <values>
          <value t="nil">
            <val>1</val>
          </value>
        </values>
      </ddeItem>
      <ddeItem name="@CTA[8-2-5-3-3,J,#5]" advise="1">
        <values>
          <value>
            <val>728096.87</val>
          </value>
        </values>
      </ddeItem>
      <ddeItem name="@CTA[8-2-5-3-3-3311,J,1,#6]" advise="1">
        <values>
          <value>
            <val>1142.8599999999999</val>
          </value>
        </values>
      </ddeItem>
      <ddeItem name="@CTA[8-2-5-3-3-3311,J,2,#6]" advise="1">
        <values>
          <value>
            <val>542462.97</val>
          </value>
        </values>
      </ddeItem>
      <ddeItem name="@CTA[8-2-5-3-3-3311,J,3,#6]" advise="1">
        <values>
          <value t="nil">
            <val>1</val>
          </value>
        </values>
      </ddeItem>
      <ddeItem name="@CTA[8-2-5-3-3-3311,J,4,#6]" advise="1">
        <values>
          <value>
            <val>0</val>
          </value>
        </values>
      </ddeItem>
      <ddeItem name="@CTA[8-2-5-3-3-3311,J,5,#6]" advise="1">
        <values>
          <value t="nil">
            <val>1</val>
          </value>
        </values>
      </ddeItem>
      <ddeItem name="@CTA[8-2-5-3-3-3311,J,6,#6]" advise="1">
        <values>
          <value t="nil">
            <val>1</val>
          </value>
        </values>
      </ddeItem>
      <ddeItem name="@CTA[8-2-5-3-3-3311,J,7,#6]" advise="1">
        <values>
          <value t="nil">
            <val>1</val>
          </value>
        </values>
      </ddeItem>
      <ddeItem name="@CTA[8-2-5-3-3-3311,J,8,#6]" advise="1">
        <values>
          <value t="nil">
            <val>1</val>
          </value>
        </values>
      </ddeItem>
      <ddeItem name="@CTA[8-2-5-3-3-3311,J,9,#6]" advise="1">
        <values>
          <value>
            <val>2285.7199999999998</val>
          </value>
        </values>
      </ddeItem>
      <ddeItem name="@CTA[8-2-5-3-3-3331,J,1,#6]" advise="1">
        <values>
          <value t="nil">
            <val>1</val>
          </value>
        </values>
      </ddeItem>
      <ddeItem name="@CTA[8-2-5-3-3-3331,J,2,#6]" advise="1">
        <values>
          <value t="nil">
            <val>1</val>
          </value>
        </values>
      </ddeItem>
      <ddeItem name="@CTA[8-2-5-3-3-3331,J,3,#6]" advise="1">
        <values>
          <value t="nil">
            <val>1</val>
          </value>
        </values>
      </ddeItem>
      <ddeItem name="@CTA[8-2-5-3-3-3331,J,4,#6]" advise="1">
        <values>
          <value t="nil">
            <val>1</val>
          </value>
        </values>
      </ddeItem>
      <ddeItem name="@CTA[8-2-5-3-3-3331,J,5,#6]" advise="1">
        <values>
          <value t="nil">
            <val>1</val>
          </value>
        </values>
      </ddeItem>
      <ddeItem name="@CTA[8-2-5-3-3-3331,J,6,#6]" advise="1">
        <values>
          <value t="nil">
            <val>1</val>
          </value>
        </values>
      </ddeItem>
      <ddeItem name="@CTA[8-2-5-3-3-3331,J,7,#6]" advise="1">
        <values>
          <value t="nil">
            <val>1</val>
          </value>
        </values>
      </ddeItem>
      <ddeItem name="@CTA[8-2-5-3-3-3331,J,8,#6]" advise="1">
        <values>
          <value t="nil">
            <val>1</val>
          </value>
        </values>
      </ddeItem>
      <ddeItem name="@CTA[8-2-5-3-3-3331,J,9,#6]" advise="1">
        <values>
          <value t="nil">
            <val>1</val>
          </value>
        </values>
      </ddeItem>
      <ddeItem name="@CTA[8-2-5-3-3-3332,J,1,#6]" advise="1">
        <values>
          <value>
            <val>0</val>
          </value>
        </values>
      </ddeItem>
      <ddeItem name="@CTA[8-2-5-3-3-3332,J,2,#6]" advise="1">
        <values>
          <value>
            <val>0</val>
          </value>
        </values>
      </ddeItem>
      <ddeItem name="@CTA[8-2-5-3-3-3332,J,3,#6]" advise="1">
        <values>
          <value t="nil">
            <val>1</val>
          </value>
        </values>
      </ddeItem>
      <ddeItem name="@CTA[8-2-5-3-3-3332,J,4,#6]" advise="1">
        <values>
          <value t="nil">
            <val>1</val>
          </value>
        </values>
      </ddeItem>
      <ddeItem name="@CTA[8-2-5-3-3-3332,J,5,#6]" advise="1">
        <values>
          <value>
            <val>0</val>
          </value>
        </values>
      </ddeItem>
      <ddeItem name="@CTA[8-2-5-3-3-3332,J,6,#6]" advise="1">
        <values>
          <value>
            <val>0</val>
          </value>
        </values>
      </ddeItem>
      <ddeItem name="@CTA[8-2-5-3-3-3332,J,7,#6]" advise="1">
        <values>
          <value>
            <val>0</val>
          </value>
        </values>
      </ddeItem>
      <ddeItem name="@CTA[8-2-5-3-3-3332,J,8,#6]" advise="1">
        <values>
          <value t="nil">
            <val>1</val>
          </value>
        </values>
      </ddeItem>
      <ddeItem name="@CTA[8-2-5-3-3-3332,J,9,#6]" advise="1">
        <values>
          <value>
            <val>74413.72</val>
          </value>
        </values>
      </ddeItem>
      <ddeItem name="@CTA[8-2-5-3-3-3341,J,1,#6]" advise="1">
        <values>
          <value>
            <val>0</val>
          </value>
        </values>
      </ddeItem>
      <ddeItem name="@CTA[8-2-5-3-3-3341,J,2,#6]" advise="1">
        <values>
          <value>
            <val>0</val>
          </value>
        </values>
      </ddeItem>
      <ddeItem name="@CTA[8-2-5-3-3-3341,J,3,#6]" advise="1">
        <values>
          <value>
            <val>16297.6</val>
          </value>
        </values>
      </ddeItem>
      <ddeItem name="@CTA[8-2-5-3-3-3341,J,4,#6]" advise="1">
        <values>
          <value>
            <val>0</val>
          </value>
        </values>
      </ddeItem>
      <ddeItem name="@CTA[8-2-5-3-3-3341,J,5,#6]" advise="1">
        <values>
          <value>
            <val>0</val>
          </value>
        </values>
      </ddeItem>
      <ddeItem name="@CTA[8-2-5-3-3-3341,J,6,#6]" advise="1">
        <values>
          <value>
            <val>0</val>
          </value>
        </values>
      </ddeItem>
      <ddeItem name="@CTA[8-2-5-3-3-3341,J,7,#6]" advise="1">
        <values>
          <value t="nil">
            <val>1</val>
          </value>
        </values>
      </ddeItem>
      <ddeItem name="@CTA[8-2-5-3-3-3341,J,8,#6]" advise="1">
        <values>
          <value>
            <val>0</val>
          </value>
        </values>
      </ddeItem>
      <ddeItem name="@CTA[8-2-5-3-3-3341,J,9,#6]" advise="1">
        <values>
          <value t="nil">
            <val>1</val>
          </value>
        </values>
      </ddeItem>
      <ddeItem name="@CTA[8-2-5-3-3-3381,J,1,#6]" advise="1">
        <values>
          <value t="nil">
            <val>1</val>
          </value>
        </values>
      </ddeItem>
      <ddeItem name="@CTA[8-2-5-3-3-3381,J,2,#6]" advise="1">
        <values>
          <value t="nil">
            <val>1</val>
          </value>
        </values>
      </ddeItem>
      <ddeItem name="@CTA[8-2-5-3-3-3381,J,3,#6]" advise="1">
        <values>
          <value t="nil">
            <val>1</val>
          </value>
        </values>
      </ddeItem>
      <ddeItem name="@CTA[8-2-5-3-3-3381,J,4,#6]" advise="1">
        <values>
          <value t="nil">
            <val>1</val>
          </value>
        </values>
      </ddeItem>
      <ddeItem name="@CTA[8-2-5-3-3-3381,J,5,#6]" advise="1">
        <values>
          <value t="nil">
            <val>1</val>
          </value>
        </values>
      </ddeItem>
      <ddeItem name="@CTA[8-2-5-3-3-3381,J,6,#6]" advise="1">
        <values>
          <value t="nil">
            <val>1</val>
          </value>
        </values>
      </ddeItem>
      <ddeItem name="@CTA[8-2-5-3-3-3381,J,7,#6]" advise="1">
        <values>
          <value t="nil">
            <val>1</val>
          </value>
        </values>
      </ddeItem>
      <ddeItem name="@CTA[8-2-5-3-3-3381,J,8,#6]" advise="1">
        <values>
          <value t="nil">
            <val>1</val>
          </value>
        </values>
      </ddeItem>
      <ddeItem name="@CTA[8-2-5-3-3-3381,J,9,#6]" advise="1">
        <values>
          <value t="nil">
            <val>1</val>
          </value>
        </values>
      </ddeItem>
      <ddeItem name="@CTA[8-2-5-3-3-3391,J,1,#6]" advise="1">
        <values>
          <value>
            <val>0</val>
          </value>
        </values>
      </ddeItem>
      <ddeItem name="@CTA[8-2-5-3-3-3391,J,2,#6]" advise="1">
        <values>
          <value t="nil">
            <val>1</val>
          </value>
        </values>
      </ddeItem>
      <ddeItem name="@CTA[8-2-5-3-3-3391,J,3,#6]" advise="1">
        <values>
          <value t="nil">
            <val>1</val>
          </value>
        </values>
      </ddeItem>
      <ddeItem name="@CTA[8-2-5-3-3-3391,J,4,#6]" advise="1">
        <values>
          <value t="nil">
            <val>1</val>
          </value>
        </values>
      </ddeItem>
      <ddeItem name="@CTA[8-2-5-3-3-3391,J,5,#6]" advise="1">
        <values>
          <value t="nil">
            <val>1</val>
          </value>
        </values>
      </ddeItem>
      <ddeItem name="@CTA[8-2-5-3-3-3391,J,6,#6]" advise="1">
        <values>
          <value t="nil">
            <val>1</val>
          </value>
        </values>
      </ddeItem>
      <ddeItem name="@CTA[8-2-5-3-3-3391,J,7,#6]" advise="1">
        <values>
          <value>
            <val>91494</val>
          </value>
        </values>
      </ddeItem>
      <ddeItem name="@CTA[8-2-5-3-3-3391,J,8,#6]" advise="1">
        <values>
          <value t="nil">
            <val>1</val>
          </value>
        </values>
      </ddeItem>
      <ddeItem name="@CTA[8-2-5-3-3-3391,J,9,#6]" advise="1">
        <values>
          <value t="nil">
            <val>1</val>
          </value>
        </values>
      </ddeItem>
      <ddeItem name="@CTA[8-2-5-3-4,J,#5]" advise="1">
        <values>
          <value>
            <val>108898.89</val>
          </value>
        </values>
      </ddeItem>
      <ddeItem name="@CTA[8-2-5-3-4-3411,J,1,#6]" advise="1">
        <values>
          <value>
            <val>0</val>
          </value>
        </values>
      </ddeItem>
      <ddeItem name="@CTA[8-2-5-3-4-3411,J,2,#6]" advise="1">
        <values>
          <value t="nil">
            <val>1</val>
          </value>
        </values>
      </ddeItem>
      <ddeItem name="@CTA[8-2-5-3-4-3411,J,3,#6]" advise="1">
        <values>
          <value t="nil">
            <val>1</val>
          </value>
        </values>
      </ddeItem>
      <ddeItem name="@CTA[8-2-5-3-4-3411,J,4,#6]" advise="1">
        <values>
          <value>
            <val>13354.240000000002</val>
          </value>
        </values>
      </ddeItem>
      <ddeItem name="@CTA[8-2-5-3-4-3411,J,5,#6]" advise="1">
        <values>
          <value t="nil">
            <val>1</val>
          </value>
        </values>
      </ddeItem>
      <ddeItem name="@CTA[8-2-5-3-4-3411,J,6,#6]" advise="1">
        <values>
          <value t="nil">
            <val>1</val>
          </value>
        </values>
      </ddeItem>
      <ddeItem name="@CTA[8-2-5-3-4-3411,J,7,#6]" advise="1">
        <values>
          <value t="nil">
            <val>1</val>
          </value>
        </values>
      </ddeItem>
      <ddeItem name="@CTA[8-2-5-3-4-3411,J,8,#6]" advise="1">
        <values>
          <value t="nil">
            <val>1</val>
          </value>
        </values>
      </ddeItem>
      <ddeItem name="@CTA[8-2-5-3-4-3411,J,9,#6]" advise="1">
        <values>
          <value t="nil">
            <val>1</val>
          </value>
        </values>
      </ddeItem>
      <ddeItem name="@CTA[8-2-5-3-4-3431,J,1,#6]" advise="1">
        <values>
          <value t="nil">
            <val>1</val>
          </value>
        </values>
      </ddeItem>
      <ddeItem name="@CTA[8-2-5-3-4-3431,J,2,#6]" advise="1">
        <values>
          <value t="nil">
            <val>1</val>
          </value>
        </values>
      </ddeItem>
      <ddeItem name="@CTA[8-2-5-3-4-3431,J,3,#6]" advise="1">
        <values>
          <value t="nil">
            <val>1</val>
          </value>
        </values>
      </ddeItem>
      <ddeItem name="@CTA[8-2-5-3-4-3431,J,4,#6]" advise="1">
        <values>
          <value>
            <val>49617.99</val>
          </value>
        </values>
      </ddeItem>
      <ddeItem name="@CTA[8-2-5-3-4-3431,J,5,#6]" advise="1">
        <values>
          <value t="nil">
            <val>1</val>
          </value>
        </values>
      </ddeItem>
      <ddeItem name="@CTA[8-2-5-3-4-3431,J,6,#6]" advise="1">
        <values>
          <value t="nil">
            <val>1</val>
          </value>
        </values>
      </ddeItem>
      <ddeItem name="@CTA[8-2-5-3-4-3431,J,7,#6]" advise="1">
        <values>
          <value t="nil">
            <val>1</val>
          </value>
        </values>
      </ddeItem>
      <ddeItem name="@CTA[8-2-5-3-4-3431,J,8,#6]" advise="1">
        <values>
          <value t="nil">
            <val>1</val>
          </value>
        </values>
      </ddeItem>
      <ddeItem name="@CTA[8-2-5-3-4-3431,J,9,#6]" advise="1">
        <values>
          <value t="nil">
            <val>1</val>
          </value>
        </values>
      </ddeItem>
      <ddeItem name="@CTA[8-2-5-3-4-3451,J,1,#6]" advise="1">
        <values>
          <value>
            <val>24215.22</val>
          </value>
        </values>
      </ddeItem>
      <ddeItem name="@CTA[8-2-5-3-4-3451,J,2,#6]" advise="1">
        <values>
          <value>
            <val>1166.1299999999999</val>
          </value>
        </values>
      </ddeItem>
      <ddeItem name="@CTA[8-2-5-3-4-3451,J,3,#6]" advise="1">
        <values>
          <value>
            <val>451.29</val>
          </value>
        </values>
      </ddeItem>
      <ddeItem name="@CTA[8-2-5-3-4-3451,J,4,#6]" advise="1">
        <values>
          <value>
            <val>210.60000000000002</val>
          </value>
        </values>
      </ddeItem>
      <ddeItem name="@CTA[8-2-5-3-4-3451,J,5,#6]" advise="1">
        <values>
          <value>
            <val>4044.99</val>
          </value>
        </values>
      </ddeItem>
      <ddeItem name="@CTA[8-2-5-3-4-3451,J,6,#6]" advise="1">
        <values>
          <value>
            <val>60.179999999999993</val>
          </value>
        </values>
      </ddeItem>
      <ddeItem name="@CTA[8-2-5-3-4-3451,J,7,#6]" advise="1">
        <values>
          <value>
            <val>9076.7100000000009</val>
          </value>
        </values>
      </ddeItem>
      <ddeItem name="@CTA[8-2-5-3-4-3451,J,8,#6]" advise="1">
        <values>
          <value>
            <val>1143.4499999999998</val>
          </value>
        </values>
      </ddeItem>
      <ddeItem name="@CTA[8-2-5-3-4-3451,J,9,#6]" advise="1">
        <values>
          <value>
            <val>60.179999999999993</val>
          </value>
        </values>
      </ddeItem>
      <ddeItem name="@CTA[8-2-5-3-4-3471,J,1,#6]" advise="1">
        <values>
          <value>
            <val>0</val>
          </value>
        </values>
      </ddeItem>
      <ddeItem name="@CTA[8-2-5-3-4-3471,J,2,#6]" advise="1">
        <values>
          <value>
            <val>13.79</val>
          </value>
        </values>
      </ddeItem>
      <ddeItem name="@CTA[8-2-5-3-4-3471,J,3,#6]" advise="1">
        <values>
          <value>
            <val>0</val>
          </value>
        </values>
      </ddeItem>
      <ddeItem name="@CTA[8-2-5-3-4-3471,J,4,#6]" advise="1">
        <values>
          <value>
            <val>0</val>
          </value>
        </values>
      </ddeItem>
      <ddeItem name="@CTA[8-2-5-3-4-3471,J,5,#6]" advise="1">
        <values>
          <value>
            <val>0</val>
          </value>
        </values>
      </ddeItem>
      <ddeItem name="@CTA[8-2-5-3-4-3471,J,6,#6]" advise="1">
        <values>
          <value>
            <val>467.73</val>
          </value>
        </values>
      </ddeItem>
      <ddeItem name="@CTA[8-2-5-3-4-3471,J,7,#6]" advise="1">
        <values>
          <value>
            <val>0</val>
          </value>
        </values>
      </ddeItem>
      <ddeItem name="@CTA[8-2-5-3-4-3471,J,8,#6]" advise="1">
        <values>
          <value>
            <val>275.14999999999998</val>
          </value>
        </values>
      </ddeItem>
      <ddeItem name="@CTA[8-2-5-3-4-3471,J,9,#6]" advise="1">
        <values>
          <value>
            <val>0</val>
          </value>
        </values>
      </ddeItem>
      <ddeItem name="@CTA[8-2-5-3-4-3491,J,1,#6]" advise="1">
        <values>
          <value>
            <val>1700.79</val>
          </value>
        </values>
      </ddeItem>
      <ddeItem name="@CTA[8-2-5-3-4-3491,J,2,#6]" advise="1">
        <values>
          <value>
            <val>319.26</val>
          </value>
        </values>
      </ddeItem>
      <ddeItem name="@CTA[8-2-5-3-4-3491,J,3,#6]" advise="1">
        <values>
          <value>
            <val>568.73</val>
          </value>
        </values>
      </ddeItem>
      <ddeItem name="@CTA[8-2-5-3-4-3491,J,4,#6]" advise="1">
        <values>
          <value>
            <val>420.54</val>
          </value>
        </values>
      </ddeItem>
      <ddeItem name="@CTA[8-2-5-3-4-3491,J,5,#6]" advise="1">
        <values>
          <value>
            <val>559.54</val>
          </value>
        </values>
      </ddeItem>
      <ddeItem name="@CTA[8-2-5-3-4-3491,J,6,#6]" advise="1">
        <values>
          <value>
            <val>166.23</val>
          </value>
        </values>
      </ddeItem>
      <ddeItem name="@CTA[8-2-5-3-4-3491,J,7,#6]" advise="1">
        <values>
          <value>
            <val>511.49</val>
          </value>
        </values>
      </ddeItem>
      <ddeItem name="@CTA[8-2-5-3-4-3491,J,8,#6]" advise="1">
        <values>
          <value>
            <val>151.02000000000001</val>
          </value>
        </values>
      </ddeItem>
      <ddeItem name="@CTA[8-2-5-3-4-3491,J,9,#6]" advise="1">
        <values>
          <value>
            <val>343.64</val>
          </value>
        </values>
      </ddeItem>
      <ddeItem name="@CTA[8-2-5-3-5,J,#5]" advise="1">
        <values>
          <value>
            <val>975332.8899999999</val>
          </value>
        </values>
      </ddeItem>
      <ddeItem name="@CTA[8-2-5-3-5-3511,J,1,#6]" advise="1">
        <values>
          <value>
            <val>0</val>
          </value>
        </values>
      </ddeItem>
      <ddeItem name="@CTA[8-2-5-3-5-3511,J,2,#6]" advise="1">
        <values>
          <value>
            <val>0</val>
          </value>
        </values>
      </ddeItem>
      <ddeItem name="@CTA[8-2-5-3-5-3511,J,3,#6]" advise="1">
        <values>
          <value>
            <val>0</val>
          </value>
        </values>
      </ddeItem>
      <ddeItem name="@CTA[8-2-5-3-5-3511,J,4,#6]" advise="1">
        <values>
          <value>
            <val>0</val>
          </value>
        </values>
      </ddeItem>
      <ddeItem name="@CTA[8-2-5-3-5-3511,J,5,#6]" advise="1">
        <values>
          <value>
            <val>0</val>
          </value>
        </values>
      </ddeItem>
      <ddeItem name="@CTA[8-2-5-3-5-3511,J,6,#6]" advise="1">
        <values>
          <value t="nil">
            <val>1</val>
          </value>
        </values>
      </ddeItem>
      <ddeItem name="@CTA[8-2-5-3-5-3511,J,7,#6]" advise="1">
        <values>
          <value>
            <val>0</val>
          </value>
        </values>
      </ddeItem>
      <ddeItem name="@CTA[8-2-5-3-5-3511,J,8,#6]" advise="1">
        <values>
          <value t="nil">
            <val>1</val>
          </value>
        </values>
      </ddeItem>
      <ddeItem name="@CTA[8-2-5-3-5-3511,J,9,#6]" advise="1">
        <values>
          <value t="nil">
            <val>1</val>
          </value>
        </values>
      </ddeItem>
      <ddeItem name="@CTA[8-2-5-3-5-3521,J,1,#6]" advise="1">
        <values>
          <value t="nil">
            <val>1</val>
          </value>
        </values>
      </ddeItem>
      <ddeItem name="@CTA[8-2-5-3-5-3521,J,2,#6]" advise="1">
        <values>
          <value t="nil">
            <val>1</val>
          </value>
        </values>
      </ddeItem>
      <ddeItem name="@CTA[8-2-5-3-5-3521,J,3,#6]" advise="1">
        <values>
          <value t="nil">
            <val>1</val>
          </value>
        </values>
      </ddeItem>
      <ddeItem name="@CTA[8-2-5-3-5-3521,J,4,#6]" advise="1">
        <values>
          <value t="nil">
            <val>1</val>
          </value>
        </values>
      </ddeItem>
      <ddeItem name="@CTA[8-2-5-3-5-3521,J,5,#6]" advise="1">
        <values>
          <value t="nil">
            <val>1</val>
          </value>
        </values>
      </ddeItem>
      <ddeItem name="@CTA[8-2-5-3-5-3521,J,6,#6]" advise="1">
        <values>
          <value t="nil">
            <val>1</val>
          </value>
        </values>
      </ddeItem>
      <ddeItem name="@CTA[8-2-5-3-5-3521,J,7,#6]" advise="1">
        <values>
          <value t="nil">
            <val>1</val>
          </value>
        </values>
      </ddeItem>
      <ddeItem name="@CTA[8-2-5-3-5-3521,J,8,#6]" advise="1">
        <values>
          <value t="nil">
            <val>1</val>
          </value>
        </values>
      </ddeItem>
      <ddeItem name="@CTA[8-2-5-3-5-3521,J,9,#6]" advise="1">
        <values>
          <value t="nil">
            <val>1</val>
          </value>
        </values>
      </ddeItem>
      <ddeItem name="@CTA[8-2-5-3-5-3531,J,1,#6]" advise="1">
        <values>
          <value t="nil">
            <val>1</val>
          </value>
        </values>
      </ddeItem>
      <ddeItem name="@CTA[8-2-5-3-5-3531,J,2,#6]" advise="1">
        <values>
          <value t="nil">
            <val>1</val>
          </value>
        </values>
      </ddeItem>
      <ddeItem name="@CTA[8-2-5-3-5-3531,J,3,#6]" advise="1">
        <values>
          <value t="nil">
            <val>1</val>
          </value>
        </values>
      </ddeItem>
      <ddeItem name="@CTA[8-2-5-3-5-3531,J,4,#6]" advise="1">
        <values>
          <value t="nil">
            <val>1</val>
          </value>
        </values>
      </ddeItem>
      <ddeItem name="@CTA[8-2-5-3-5-3531,J,5,#6]" advise="1">
        <values>
          <value>
            <val>0</val>
          </value>
        </values>
      </ddeItem>
      <ddeItem name="@CTA[8-2-5-3-5-3531,J,6,#6]" advise="1">
        <values>
          <value>
            <val>0</val>
          </value>
        </values>
      </ddeItem>
      <ddeItem name="@CTA[8-2-5-3-5-3531,J,7,#6]" advise="1">
        <values>
          <value t="nil">
            <val>1</val>
          </value>
        </values>
      </ddeItem>
      <ddeItem name="@CTA[8-2-5-3-5-3531,J,8,#6]" advise="1">
        <values>
          <value t="nil">
            <val>1</val>
          </value>
        </values>
      </ddeItem>
      <ddeItem name="@CTA[8-2-5-3-5-3531,J,9,#6]" advise="1">
        <values>
          <value t="nil">
            <val>1</val>
          </value>
        </values>
      </ddeItem>
      <ddeItem name="@CTA[8-2-5-3-5-3551,J,1,#6]" advise="1">
        <values>
          <value>
            <val>59101.53</val>
          </value>
        </values>
      </ddeItem>
      <ddeItem name="@CTA[8-2-5-3-5-3551,J,2,#6]" advise="1">
        <values>
          <value>
            <val>979.31999999999994</val>
          </value>
        </values>
      </ddeItem>
      <ddeItem name="@CTA[8-2-5-3-5-3551,J,3,#6]" advise="1">
        <values>
          <value t="nil">
            <val>1</val>
          </value>
        </values>
      </ddeItem>
      <ddeItem name="@CTA[8-2-5-3-5-3551,J,4,#6]" advise="1">
        <values>
          <value>
            <val>0</val>
          </value>
        </values>
      </ddeItem>
      <ddeItem name="@CTA[8-2-5-3-5-3551,J,5,#6]" advise="1">
        <values>
          <value>
            <val>59.05</val>
          </value>
        </values>
      </ddeItem>
      <ddeItem name="@CTA[8-2-5-3-5-3551,J,6,#6]" advise="1">
        <values>
          <value t="nil">
            <val>1</val>
          </value>
        </values>
      </ddeItem>
      <ddeItem name="@CTA[8-2-5-3-5-3551,J,7,#6]" advise="1">
        <values>
          <value>
            <val>5828.78</val>
          </value>
        </values>
      </ddeItem>
      <ddeItem name="@CTA[8-2-5-3-5-3551,J,8,#6]" advise="1">
        <values>
          <value>
            <val>9312.07</val>
          </value>
        </values>
      </ddeItem>
      <ddeItem name="@CTA[8-2-5-3-5-3551,J,9,#6]" advise="1">
        <values>
          <value>
            <val>1863.62</val>
          </value>
        </values>
      </ddeItem>
      <ddeItem name="@CTA[8-2-5-3-5-3571,J,1,#6]" advise="1">
        <values>
          <value>
            <val>580347.06000000006</val>
          </value>
        </values>
      </ddeItem>
      <ddeItem name="@CTA[8-2-5-3-5-3571,J,2,#6]" advise="1">
        <values>
          <value t="nil">
            <val>1</val>
          </value>
        </values>
      </ddeItem>
      <ddeItem name="@CTA[8-2-5-3-5-3571,J,3,#6]" advise="1">
        <values>
          <value>
            <val>0</val>
          </value>
        </values>
      </ddeItem>
      <ddeItem name="@CTA[8-2-5-3-5-3571,J,4,#6]" advise="1">
        <values>
          <value t="nil">
            <val>1</val>
          </value>
        </values>
      </ddeItem>
      <ddeItem name="@CTA[8-2-5-3-5-3571,J,5,#6]" advise="1">
        <values>
          <value>
            <val>0</val>
          </value>
        </values>
      </ddeItem>
      <ddeItem name="@CTA[8-2-5-3-5-3571,J,6,#6]" advise="1">
        <values>
          <value>
            <val>0</val>
          </value>
        </values>
      </ddeItem>
      <ddeItem name="@CTA[8-2-5-3-5-3571,J,7,#6]" advise="1">
        <values>
          <value>
            <val>0</val>
          </value>
        </values>
      </ddeItem>
      <ddeItem name="@CTA[8-2-5-3-5-3571,J,8,#6]" advise="1">
        <values>
          <value>
            <val>0</val>
          </value>
        </values>
      </ddeItem>
      <ddeItem name="@CTA[8-2-5-3-5-3571,J,9,#6]" advise="1">
        <values>
          <value t="nil">
            <val>1</val>
          </value>
        </values>
      </ddeItem>
      <ddeItem name="@CTA[8-2-5-3-5-3572,J,1,#6]" advise="1">
        <values>
          <value t="nil">
            <val>1</val>
          </value>
        </values>
      </ddeItem>
      <ddeItem name="@CTA[8-2-5-3-5-3572,J,2,#6]" advise="1">
        <values>
          <value t="nil">
            <val>1</val>
          </value>
        </values>
      </ddeItem>
      <ddeItem name="@CTA[8-2-5-3-5-3572,J,3,#6]" advise="1">
        <values>
          <value t="nil">
            <val>1</val>
          </value>
        </values>
      </ddeItem>
      <ddeItem name="@CTA[8-2-5-3-5-3572,J,4,#6]" advise="1">
        <values>
          <value t="nil">
            <val>1</val>
          </value>
        </values>
      </ddeItem>
      <ddeItem name="@CTA[8-2-5-3-5-3572,J,5,#6]" advise="1">
        <values>
          <value t="nil">
            <val>1</val>
          </value>
        </values>
      </ddeItem>
      <ddeItem name="@CTA[8-2-5-3-5-3572,J,6,#6]" advise="1">
        <values>
          <value t="nil">
            <val>1</val>
          </value>
        </values>
      </ddeItem>
      <ddeItem name="@CTA[8-2-5-3-5-3572,J,7,#6]" advise="1">
        <values>
          <value>
            <val>42400</val>
          </value>
        </values>
      </ddeItem>
      <ddeItem name="@CTA[8-2-5-3-5-3572,J,8,#6]" advise="1">
        <values>
          <value t="nil">
            <val>1</val>
          </value>
        </values>
      </ddeItem>
      <ddeItem name="@CTA[8-2-5-3-5-3572,J,9,#6]" advise="1">
        <values>
          <value t="nil">
            <val>1</val>
          </value>
        </values>
      </ddeItem>
      <ddeItem name="@CTA[8-2-5-3-5-3573,J,1,#6]" advise="1">
        <values>
          <value>
            <val>0</val>
          </value>
        </values>
      </ddeItem>
      <ddeItem name="@CTA[8-2-5-3-5-3573,J,2,#6]" advise="1">
        <values>
          <value t="nil">
            <val>1</val>
          </value>
        </values>
      </ddeItem>
      <ddeItem name="@CTA[8-2-5-3-5-3573,J,3,#6]" advise="1">
        <values>
          <value t="nil">
            <val>1</val>
          </value>
        </values>
      </ddeItem>
      <ddeItem name="@CTA[8-2-5-3-5-3573,J,4,#6]" advise="1">
        <values>
          <value t="nil">
            <val>1</val>
          </value>
        </values>
      </ddeItem>
      <ddeItem name="@CTA[8-2-5-3-5-3573,J,5,#6]" advise="1">
        <values>
          <value t="nil">
            <val>1</val>
          </value>
        </values>
      </ddeItem>
      <ddeItem name="@CTA[8-2-5-3-5-3573,J,6,#6]" advise="1">
        <values>
          <value t="nil">
            <val>1</val>
          </value>
        </values>
      </ddeItem>
      <ddeItem name="@CTA[8-2-5-3-5-3573,J,7,#6]" advise="1">
        <values>
          <value>
            <val>165913.41</val>
          </value>
        </values>
      </ddeItem>
      <ddeItem name="@CTA[8-2-5-3-5-3573,J,8,#6]" advise="1">
        <values>
          <value t="nil">
            <val>1</val>
          </value>
        </values>
      </ddeItem>
      <ddeItem name="@CTA[8-2-5-3-5-3573,J,9,#6]" advise="1">
        <values>
          <value t="nil">
            <val>1</val>
          </value>
        </values>
      </ddeItem>
      <ddeItem name="@CTA[8-2-5-3-5-3574,J,1,#6]" advise="1">
        <values>
          <value t="nil">
            <val>1</val>
          </value>
        </values>
      </ddeItem>
      <ddeItem name="@CTA[8-2-5-3-5-3574,J,2,#6]" advise="1">
        <values>
          <value t="nil">
            <val>1</val>
          </value>
        </values>
      </ddeItem>
      <ddeItem name="@CTA[8-2-5-3-5-3574,J,3,#6]" advise="1">
        <values>
          <value t="nil">
            <val>1</val>
          </value>
        </values>
      </ddeItem>
      <ddeItem name="@CTA[8-2-5-3-5-3574,J,4,#6]" advise="1">
        <values>
          <value t="nil">
            <val>1</val>
          </value>
        </values>
      </ddeItem>
      <ddeItem name="@CTA[8-2-5-3-5-3574,J,5,#6]" advise="1">
        <values>
          <value t="nil">
            <val>1</val>
          </value>
        </values>
      </ddeItem>
      <ddeItem name="@CTA[8-2-5-3-5-3574,J,6,#6]" advise="1">
        <values>
          <value t="nil">
            <val>1</val>
          </value>
        </values>
      </ddeItem>
      <ddeItem name="@CTA[8-2-5-3-5-3574,J,7,#6]" advise="1">
        <values>
          <value>
            <val>45900</val>
          </value>
        </values>
      </ddeItem>
      <ddeItem name="@CTA[8-2-5-3-5-3574,J,8,#6]" advise="1">
        <values>
          <value t="nil">
            <val>1</val>
          </value>
        </values>
      </ddeItem>
      <ddeItem name="@CTA[8-2-5-3-5-3574,J,9,#6]" advise="1">
        <values>
          <value t="nil">
            <val>1</val>
          </value>
        </values>
      </ddeItem>
      <ddeItem name="@CTA[8-2-5-3-5-3575,J,1,#6]" advise="1">
        <values>
          <value t="nil">
            <val>1</val>
          </value>
        </values>
      </ddeItem>
      <ddeItem name="@CTA[8-2-5-3-5-3575,J,2,#6]" advise="1">
        <values>
          <value t="nil">
            <val>1</val>
          </value>
        </values>
      </ddeItem>
      <ddeItem name="@CTA[8-2-5-3-5-3575,J,3,#6]" advise="1">
        <values>
          <value t="nil">
            <val>1</val>
          </value>
        </values>
      </ddeItem>
      <ddeItem name="@CTA[8-2-5-3-5-3575,J,4,#6]" advise="1">
        <values>
          <value t="nil">
            <val>1</val>
          </value>
        </values>
      </ddeItem>
      <ddeItem name="@CTA[8-2-5-3-5-3575,J,5,#6]" advise="1">
        <values>
          <value t="nil">
            <val>1</val>
          </value>
        </values>
      </ddeItem>
      <ddeItem name="@CTA[8-2-5-3-5-3575,J,6,#6]" advise="1">
        <values>
          <value t="nil">
            <val>1</val>
          </value>
        </values>
      </ddeItem>
      <ddeItem name="@CTA[8-2-5-3-5-3575,J,7,#6]" advise="1">
        <values>
          <value>
            <val>55015</val>
          </value>
        </values>
      </ddeItem>
      <ddeItem name="@CTA[8-2-5-3-5-3575,J,8,#6]" advise="1">
        <values>
          <value t="nil">
            <val>1</val>
          </value>
        </values>
      </ddeItem>
      <ddeItem name="@CTA[8-2-5-3-5-3575,J,9,#6]" advise="1">
        <values>
          <value t="nil">
            <val>1</val>
          </value>
        </values>
      </ddeItem>
      <ddeItem name="@CTA[8-2-5-3-5-3576,J,1,#6]" advise="1">
        <values>
          <value t="nil">
            <val>1</val>
          </value>
        </values>
      </ddeItem>
      <ddeItem name="@CTA[8-2-5-3-5-3576,J,2,#6]" advise="1">
        <values>
          <value t="nil">
            <val>1</val>
          </value>
        </values>
      </ddeItem>
      <ddeItem name="@CTA[8-2-5-3-5-3576,J,3,#6]" advise="1">
        <values>
          <value t="nil">
            <val>1</val>
          </value>
        </values>
      </ddeItem>
      <ddeItem name="@CTA[8-2-5-3-5-3576,J,4,#6]" advise="1">
        <values>
          <value t="nil">
            <val>1</val>
          </value>
        </values>
      </ddeItem>
      <ddeItem name="@CTA[8-2-5-3-5-3576,J,5,#6]" advise="1">
        <values>
          <value t="nil">
            <val>1</val>
          </value>
        </values>
      </ddeItem>
      <ddeItem name="@CTA[8-2-5-3-5-3576,J,6,#6]" advise="1">
        <values>
          <value t="nil">
            <val>1</val>
          </value>
        </values>
      </ddeItem>
      <ddeItem name="@CTA[8-2-5-3-5-3576,J,7,#6]" advise="1">
        <values>
          <value>
            <val>8613.0499999999993</val>
          </value>
        </values>
      </ddeItem>
      <ddeItem name="@CTA[8-2-5-3-5-3576,J,8,#6]" advise="1">
        <values>
          <value t="nil">
            <val>1</val>
          </value>
        </values>
      </ddeItem>
      <ddeItem name="@CTA[8-2-5-3-5-3576,J,9,#6]" advise="1">
        <values>
          <value t="nil">
            <val>1</val>
          </value>
        </values>
      </ddeItem>
      <ddeItem name="@CTA[8-2-5-3-5-3577,J,1,#6]" advise="1">
        <values>
          <value t="nil">
            <val>1</val>
          </value>
        </values>
      </ddeItem>
      <ddeItem name="@CTA[8-2-5-3-5-3577,J,2,#6]" advise="1">
        <values>
          <value t="nil">
            <val>1</val>
          </value>
        </values>
      </ddeItem>
      <ddeItem name="@CTA[8-2-5-3-5-3577,J,3,#6]" advise="1">
        <values>
          <value t="nil">
            <val>1</val>
          </value>
        </values>
      </ddeItem>
      <ddeItem name="@CTA[8-2-5-3-5-3577,J,4,#6]" advise="1">
        <values>
          <value t="nil">
            <val>1</val>
          </value>
        </values>
      </ddeItem>
      <ddeItem name="@CTA[8-2-5-3-5-3577,J,5,#6]" advise="1">
        <values>
          <value t="nil">
            <val>1</val>
          </value>
        </values>
      </ddeItem>
      <ddeItem name="@CTA[8-2-5-3-5-3577,J,6,#6]" advise="1">
        <values>
          <value t="nil">
            <val>1</val>
          </value>
        </values>
      </ddeItem>
      <ddeItem name="@CTA[8-2-5-3-5-3577,J,7,#6]" advise="1">
        <values>
          <value>
            <val>0</val>
          </value>
        </values>
      </ddeItem>
      <ddeItem name="@CTA[8-2-5-3-5-3577,J,8,#6]" advise="1">
        <values>
          <value t="nil">
            <val>1</val>
          </value>
        </values>
      </ddeItem>
      <ddeItem name="@CTA[8-2-5-3-5-3577,J,9,#6]" advise="1">
        <values>
          <value t="nil">
            <val>1</val>
          </value>
        </values>
      </ddeItem>
      <ddeItem name="@CTA[8-2-5-3-6,J,#5]" advise="1">
        <values>
          <value>
            <val>15259.35</val>
          </value>
        </values>
      </ddeItem>
      <ddeItem name="@CTA[8-2-5-3-6-3611,J,1,#6]" advise="1">
        <values>
          <value t="nil">
            <val>1</val>
          </value>
        </values>
      </ddeItem>
      <ddeItem name="@CTA[8-2-5-3-6-3611,J,2,#6]" advise="1">
        <values>
          <value>
            <val>0</val>
          </value>
        </values>
      </ddeItem>
      <ddeItem name="@CTA[8-2-5-3-6-3611,J,3,#6]" advise="1">
        <values>
          <value>
            <val>0</val>
          </value>
        </values>
      </ddeItem>
      <ddeItem name="@CTA[8-2-5-3-6-3611,J,4,#6]" advise="1">
        <values>
          <value t="nil">
            <val>1</val>
          </value>
        </values>
      </ddeItem>
      <ddeItem name="@CTA[8-2-5-3-6-3611,J,5,#6]" advise="1">
        <values>
          <value>
            <val>0</val>
          </value>
        </values>
      </ddeItem>
      <ddeItem name="@CTA[8-2-5-3-6-3611,J,6,#6]" advise="1">
        <values>
          <value t="nil">
            <val>1</val>
          </value>
        </values>
      </ddeItem>
      <ddeItem name="@CTA[8-2-5-3-6-3611,J,7,#6]" advise="1">
        <values>
          <value>
            <val>0</val>
          </value>
        </values>
      </ddeItem>
      <ddeItem name="@CTA[8-2-5-3-6-3611,J,8,#6]" advise="1">
        <values>
          <value>
            <val>15259.35</val>
          </value>
        </values>
      </ddeItem>
      <ddeItem name="@CTA[8-2-5-3-6-3611,J,9,#6]" advise="1">
        <values>
          <value t="nil">
            <val>1</val>
          </value>
        </values>
      </ddeItem>
      <ddeItem name="@CTA[8-2-5-3-7,J,#5]" advise="1">
        <values>
          <value>
            <val>1603.3700000000001</val>
          </value>
        </values>
      </ddeItem>
      <ddeItem name="@CTA[8-2-5-3-7-3721,J,1,#6]" advise="1">
        <values>
          <value>
            <val>0</val>
          </value>
        </values>
      </ddeItem>
      <ddeItem name="@CTA[8-2-5-3-7-3721,J,2,#6]" advise="1">
        <values>
          <value>
            <val>0</val>
          </value>
        </values>
      </ddeItem>
      <ddeItem name="@CTA[8-2-5-3-7-3721,J,3,#6]" advise="1">
        <values>
          <value>
            <val>0</val>
          </value>
        </values>
      </ddeItem>
      <ddeItem name="@CTA[8-2-5-3-7-3721,J,4,#6]" advise="1">
        <values>
          <value>
            <val>0</val>
          </value>
        </values>
      </ddeItem>
      <ddeItem name="@CTA[8-2-5-3-7-3721,J,5,#6]" advise="1">
        <values>
          <value>
            <val>0</val>
          </value>
        </values>
      </ddeItem>
      <ddeItem name="@CTA[8-2-5-3-7-3721,J,6,#6]" advise="1">
        <values>
          <value>
            <val>0</val>
          </value>
        </values>
      </ddeItem>
      <ddeItem name="@CTA[8-2-5-3-7-3721,J,7,#6]" advise="1">
        <values>
          <value>
            <val>0</val>
          </value>
        </values>
      </ddeItem>
      <ddeItem name="@CTA[8-2-5-3-7-3721,J,8,#6]" advise="1">
        <values>
          <value>
            <val>0</val>
          </value>
        </values>
      </ddeItem>
      <ddeItem name="@CTA[8-2-5-3-7-3721,J,9,#6]" advise="1">
        <values>
          <value>
            <val>0</val>
          </value>
        </values>
      </ddeItem>
      <ddeItem name="@CTA[8-2-5-3-7-3722,J,1,#6]" advise="1">
        <values>
          <value t="nil">
            <val>1</val>
          </value>
        </values>
      </ddeItem>
      <ddeItem name="@CTA[8-2-5-3-7-3722,J,2,#6]" advise="1">
        <values>
          <value t="nil">
            <val>1</val>
          </value>
        </values>
      </ddeItem>
      <ddeItem name="@CTA[8-2-5-3-7-3722,J,3,#6]" advise="1">
        <values>
          <value t="nil">
            <val>1</val>
          </value>
        </values>
      </ddeItem>
      <ddeItem name="@CTA[8-2-5-3-7-3722,J,4,#6]" advise="1">
        <values>
          <value t="nil">
            <val>1</val>
          </value>
        </values>
      </ddeItem>
      <ddeItem name="@CTA[8-2-5-3-7-3722,J,5,#6]" advise="1">
        <values>
          <value t="nil">
            <val>1</val>
          </value>
        </values>
      </ddeItem>
      <ddeItem name="@CTA[8-2-5-3-7-3722,J,6,#6]" advise="1">
        <values>
          <value t="nil">
            <val>1</val>
          </value>
        </values>
      </ddeItem>
      <ddeItem name="@CTA[8-2-5-3-7-3722,J,7,#6]" advise="1">
        <values>
          <value t="nil">
            <val>1</val>
          </value>
        </values>
      </ddeItem>
      <ddeItem name="@CTA[8-2-5-3-7-3722,J,8,#6]" advise="1">
        <values>
          <value t="nil">
            <val>1</val>
          </value>
        </values>
      </ddeItem>
      <ddeItem name="@CTA[8-2-5-3-7-3722,J,9,#6]" advise="1">
        <values>
          <value t="nil">
            <val>1</val>
          </value>
        </values>
      </ddeItem>
      <ddeItem name="@CTA[8-2-5-3-7-3751,J,1,#6]" advise="1">
        <values>
          <value>
            <val>0</val>
          </value>
        </values>
      </ddeItem>
      <ddeItem name="@CTA[8-2-5-3-7-3751,J,2,#6]" advise="1">
        <values>
          <value>
            <val>644.55000000000007</val>
          </value>
        </values>
      </ddeItem>
      <ddeItem name="@CTA[8-2-5-3-7-3751,J,3,#6]" advise="1">
        <values>
          <value>
            <val>0</val>
          </value>
        </values>
      </ddeItem>
      <ddeItem name="@CTA[8-2-5-3-7-3751,J,4,#6]" advise="1">
        <values>
          <value>
            <val>0</val>
          </value>
        </values>
      </ddeItem>
      <ddeItem name="@CTA[8-2-5-3-7-3751,J,5,#6]" advise="1">
        <values>
          <value>
            <val>0</val>
          </value>
        </values>
      </ddeItem>
      <ddeItem name="@CTA[8-2-5-3-7-3751,J,6,#6]" advise="1">
        <values>
          <value>
            <val>0</val>
          </value>
        </values>
      </ddeItem>
      <ddeItem name="@CTA[8-2-5-3-7-3751,J,7,#6]" advise="1">
        <values>
          <value>
            <val>591.4</val>
          </value>
        </values>
      </ddeItem>
      <ddeItem name="@CTA[8-2-5-3-7-3751,J,8,#6]" advise="1">
        <values>
          <value>
            <val>0</val>
          </value>
        </values>
      </ddeItem>
      <ddeItem name="@CTA[8-2-5-3-7-3751,J,9,#6]" advise="1">
        <values>
          <value>
            <val>367.41999999999996</val>
          </value>
        </values>
      </ddeItem>
      <ddeItem name="@CTA[8-2-5-3-8,J,#5]" advise="1">
        <values>
          <value>
            <val>41463.430000000008</val>
          </value>
        </values>
      </ddeItem>
      <ddeItem name="@CTA[8-2-5-3-8-3821,J,1,#6]" advise="1">
        <values>
          <value>
            <val>0</val>
          </value>
        </values>
      </ddeItem>
      <ddeItem name="@CTA[8-2-5-3-8-3821,J,2,#6]" advise="1">
        <values>
          <value t="nil">
            <val>1</val>
          </value>
        </values>
      </ddeItem>
      <ddeItem name="@CTA[8-2-5-3-8-3821,J,3,#6]" advise="1">
        <values>
          <value>
            <val>0</val>
          </value>
        </values>
      </ddeItem>
      <ddeItem name="@CTA[8-2-5-3-8-3821,J,4,#6]" advise="1">
        <values>
          <value t="nil">
            <val>1</val>
          </value>
        </values>
      </ddeItem>
      <ddeItem name="@CTA[8-2-5-3-8-3821,J,5,#6]" advise="1">
        <values>
          <value>
            <val>0</val>
          </value>
        </values>
      </ddeItem>
      <ddeItem name="@CTA[8-2-5-3-8-3821,J,6,#6]" advise="1">
        <values>
          <value t="nil">
            <val>1</val>
          </value>
        </values>
      </ddeItem>
      <ddeItem name="@CTA[8-2-5-3-8-3821,J,7,#6]" advise="1">
        <values>
          <value t="nil">
            <val>1</val>
          </value>
        </values>
      </ddeItem>
      <ddeItem name="@CTA[8-2-5-3-8-3821,J,8,#6]" advise="1">
        <values>
          <value>
            <val>25337.899999999998</val>
          </value>
        </values>
      </ddeItem>
      <ddeItem name="@CTA[8-2-5-3-8-3821,J,9,#6]" advise="1">
        <values>
          <value t="nil">
            <val>1</val>
          </value>
        </values>
      </ddeItem>
      <ddeItem name="@CTA[8-2-5-3-8-3822,J,1,#6]" advise="1">
        <values>
          <value>
            <val>0</val>
          </value>
        </values>
      </ddeItem>
      <ddeItem name="@CTA[8-2-5-3-8-3822,J,2,#6]" advise="1">
        <values>
          <value>
            <val>0</val>
          </value>
        </values>
      </ddeItem>
      <ddeItem name="@CTA[8-2-5-3-8-3822,J,3,#6]" advise="1">
        <values>
          <value t="nil">
            <val>1</val>
          </value>
        </values>
      </ddeItem>
      <ddeItem name="@CTA[8-2-5-3-8-3822,J,4,#6]" advise="1">
        <values>
          <value t="nil">
            <val>1</val>
          </value>
        </values>
      </ddeItem>
      <ddeItem name="@CTA[8-2-5-3-8-3822,J,5,#6]" advise="1">
        <values>
          <value>
            <val>0</val>
          </value>
        </values>
      </ddeItem>
      <ddeItem name="@CTA[8-2-5-3-8-3822,J,6,#6]" advise="1">
        <values>
          <value t="nil">
            <val>1</val>
          </value>
        </values>
      </ddeItem>
      <ddeItem name="@CTA[8-2-5-3-8-3822,J,7,#6]" advise="1">
        <values>
          <value>
            <val>0</val>
          </value>
        </values>
      </ddeItem>
      <ddeItem name="@CTA[8-2-5-3-8-3822,J,8,#6]" advise="1">
        <values>
          <value>
            <val>15263.460000000003</val>
          </value>
        </values>
      </ddeItem>
      <ddeItem name="@CTA[8-2-5-3-8-3822,J,9,#6]" advise="1">
        <values>
          <value t="nil">
            <val>1</val>
          </value>
        </values>
      </ddeItem>
      <ddeItem name="@CTA[8-2-5-3-8-3831,J,1,#6]" advise="1">
        <values>
          <value>
            <val>0</val>
          </value>
        </values>
      </ddeItem>
      <ddeItem name="@CTA[8-2-5-3-8-3831,J,2,#6]" advise="1">
        <values>
          <value t="nil">
            <val>1</val>
          </value>
        </values>
      </ddeItem>
      <ddeItem name="@CTA[8-2-5-3-8-3831,J,3,#6]" advise="1">
        <values>
          <value>
            <val>0</val>
          </value>
        </values>
      </ddeItem>
      <ddeItem name="@CTA[8-2-5-3-8-3831,J,4,#6]" advise="1">
        <values>
          <value t="nil">
            <val>1</val>
          </value>
        </values>
      </ddeItem>
      <ddeItem name="@CTA[8-2-5-3-8-3831,J,5,#6]" advise="1">
        <values>
          <value>
            <val>0</val>
          </value>
        </values>
      </ddeItem>
      <ddeItem name="@CTA[8-2-5-3-8-3831,J,6,#6]" advise="1">
        <values>
          <value t="nil">
            <val>1</val>
          </value>
        </values>
      </ddeItem>
      <ddeItem name="@CTA[8-2-5-3-8-3831,J,7,#6]" advise="1">
        <values>
          <value t="nil">
            <val>1</val>
          </value>
        </values>
      </ddeItem>
      <ddeItem name="@CTA[8-2-5-3-8-3831,J,8,#6]" advise="1">
        <values>
          <value>
            <val>0</val>
          </value>
        </values>
      </ddeItem>
      <ddeItem name="@CTA[8-2-5-3-8-3831,J,9,#6]" advise="1">
        <values>
          <value t="nil">
            <val>1</val>
          </value>
        </values>
      </ddeItem>
      <ddeItem name="@CTA[8-2-5-3-8-3851,J,1,#6]" advise="1">
        <values>
          <value t="nil">
            <val>1</val>
          </value>
        </values>
      </ddeItem>
      <ddeItem name="@CTA[8-2-5-3-8-3851,J,2,#6]" advise="1">
        <values>
          <value>
            <val>862.07</val>
          </value>
        </values>
      </ddeItem>
      <ddeItem name="@CTA[8-2-5-3-8-3851,J,3,#6]" advise="1">
        <values>
          <value t="nil">
            <val>1</val>
          </value>
        </values>
      </ddeItem>
      <ddeItem name="@CTA[8-2-5-3-8-3851,J,4,#6]" advise="1">
        <values>
          <value t="nil">
            <val>1</val>
          </value>
        </values>
      </ddeItem>
      <ddeItem name="@CTA[8-2-5-3-8-3851,J,5,#6]" advise="1">
        <values>
          <value t="nil">
            <val>1</val>
          </value>
        </values>
      </ddeItem>
      <ddeItem name="@CTA[8-2-5-3-8-3851,J,6,#6]" advise="1">
        <values>
          <value t="nil">
            <val>1</val>
          </value>
        </values>
      </ddeItem>
      <ddeItem name="@CTA[8-2-5-3-8-3851,J,7,#6]" advise="1">
        <values>
          <value t="nil">
            <val>1</val>
          </value>
        </values>
      </ddeItem>
      <ddeItem name="@CTA[8-2-5-3-8-3851,J,8,#6]" advise="1">
        <values>
          <value>
            <val>0</val>
          </value>
        </values>
      </ddeItem>
      <ddeItem name="@CTA[8-2-5-3-8-3851,J,9,#6]" advise="1">
        <values>
          <value t="nil">
            <val>1</val>
          </value>
        </values>
      </ddeItem>
      <ddeItem name="@CTA[8-2-5-3-9,J,#5]" advise="1">
        <values>
          <value>
            <val>533817.82999999996</val>
          </value>
        </values>
      </ddeItem>
      <ddeItem name="@CTA[8-2-5-3-9-3921,J,1,#6]" advise="1">
        <values>
          <value>
            <val>417109</val>
          </value>
        </values>
      </ddeItem>
      <ddeItem name="@CTA[8-2-5-3-9-3921,J,2,#6]" advise="1">
        <values>
          <value t="nil">
            <val>1</val>
          </value>
        </values>
      </ddeItem>
      <ddeItem name="@CTA[8-2-5-3-9-3921,J,3,#6]" advise="1">
        <values>
          <value t="nil">
            <val>1</val>
          </value>
        </values>
      </ddeItem>
      <ddeItem name="@CTA[8-2-5-3-9-3921,J,4,#6]" advise="1">
        <values>
          <value t="nil">
            <val>1</val>
          </value>
        </values>
      </ddeItem>
      <ddeItem name="@CTA[8-2-5-3-9-3921,J,5,#6]" advise="1">
        <values>
          <value t="nil">
            <val>1</val>
          </value>
        </values>
      </ddeItem>
      <ddeItem name="@CTA[8-2-5-3-9-3921,J,6,#6]" advise="1">
        <values>
          <value t="nil">
            <val>1</val>
          </value>
        </values>
      </ddeItem>
      <ddeItem name="@CTA[8-2-5-3-9-3921,J,7,#6]" advise="1">
        <values>
          <value t="nil">
            <val>1</val>
          </value>
        </values>
      </ddeItem>
      <ddeItem name="@CTA[8-2-5-3-9-3921,J,8,#6]" advise="1">
        <values>
          <value t="nil">
            <val>1</val>
          </value>
        </values>
      </ddeItem>
      <ddeItem name="@CTA[8-2-5-3-9-3921,J,9,#6]" advise="1">
        <values>
          <value t="nil">
            <val>1</val>
          </value>
        </values>
      </ddeItem>
      <ddeItem name="@CTA[8-2-5-3-9-3922,J,1,#6]" advise="1">
        <values>
          <value t="nil">
            <val>1</val>
          </value>
        </values>
      </ddeItem>
      <ddeItem name="@CTA[8-2-5-3-9-3922,J,2,#6]" advise="1">
        <values>
          <value t="nil">
            <val>1</val>
          </value>
        </values>
      </ddeItem>
      <ddeItem name="@CTA[8-2-5-3-9-3922,J,3,#6]" advise="1">
        <values>
          <value t="nil">
            <val>1</val>
          </value>
        </values>
      </ddeItem>
      <ddeItem name="@CTA[8-2-5-3-9-3922,J,4,#6]" advise="1">
        <values>
          <value t="nil">
            <val>1</val>
          </value>
        </values>
      </ddeItem>
      <ddeItem name="@CTA[8-2-5-3-9-3922,J,5,#6]" advise="1">
        <values>
          <value t="nil">
            <val>1</val>
          </value>
        </values>
      </ddeItem>
      <ddeItem name="@CTA[8-2-5-3-9-3922,J,6,#6]" advise="1">
        <values>
          <value t="nil">
            <val>1</val>
          </value>
        </values>
      </ddeItem>
      <ddeItem name="@CTA[8-2-5-3-9-3922,J,7,#6]" advise="1">
        <values>
          <value>
            <val>28843</val>
          </value>
        </values>
      </ddeItem>
      <ddeItem name="@CTA[8-2-5-3-9-3922,J,8,#6]" advise="1">
        <values>
          <value t="nil">
            <val>1</val>
          </value>
        </values>
      </ddeItem>
      <ddeItem name="@CTA[8-2-5-3-9-3922,J,9,#6]" advise="1">
        <values>
          <value>
            <val>0</val>
          </value>
        </values>
      </ddeItem>
      <ddeItem name="@CTA[8-2-5-3-9-3923,J,1,#6]" advise="1">
        <values>
          <value>
            <val>3686</val>
          </value>
        </values>
      </ddeItem>
      <ddeItem name="@CTA[8-2-5-3-9-3923,J,2,#6]" advise="1">
        <values>
          <value>
            <val>431</val>
          </value>
        </values>
      </ddeItem>
      <ddeItem name="@CTA[8-2-5-3-9-3923,J,3,#6]" advise="1">
        <values>
          <value t="nil">
            <val>1</val>
          </value>
        </values>
      </ddeItem>
      <ddeItem name="@CTA[8-2-5-3-9-3923,J,4,#6]" advise="1">
        <values>
          <value t="nil">
            <val>1</val>
          </value>
        </values>
      </ddeItem>
      <ddeItem name="@CTA[8-2-5-3-9-3923,J,5,#6]" advise="1">
        <values>
          <value>
            <val>119</val>
          </value>
        </values>
      </ddeItem>
      <ddeItem name="@CTA[8-2-5-3-9-3923,J,6,#6]" advise="1">
        <values>
          <value>
            <val>0</val>
          </value>
        </values>
      </ddeItem>
      <ddeItem name="@CTA[8-2-5-3-9-3923,J,7,#6]" advise="1">
        <values>
          <value>
            <val>431</val>
          </value>
        </values>
      </ddeItem>
      <ddeItem name="@CTA[8-2-5-3-9-3923,J,8,#6]" advise="1">
        <values>
          <value>
            <val>431</val>
          </value>
        </values>
      </ddeItem>
      <ddeItem name="@CTA[8-2-5-3-9-3923,J,9,#6]" advise="1">
        <values>
          <value>
            <val>431</val>
          </value>
        </values>
      </ddeItem>
      <ddeItem name="@CTA[8-2-5-3-9-3924,J,1,#6]" advise="1">
        <values>
          <value>
            <val>4691.2299999999996</val>
          </value>
        </values>
      </ddeItem>
      <ddeItem name="@CTA[8-2-5-3-9-3924,J,2,#6]" advise="1">
        <values>
          <value>
            <val>0</val>
          </value>
        </values>
      </ddeItem>
      <ddeItem name="@CTA[8-2-5-3-9-3924,J,3,#6]" advise="1">
        <values>
          <value>
            <val>586.4</val>
          </value>
        </values>
      </ddeItem>
      <ddeItem name="@CTA[8-2-5-3-9-3924,J,4,#6]" advise="1">
        <values>
          <value>
            <val>781.87</val>
          </value>
        </values>
      </ddeItem>
      <ddeItem name="@CTA[8-2-5-3-9-3924,J,5,#6]" advise="1">
        <values>
          <value>
            <val>1368.28</val>
          </value>
        </values>
      </ddeItem>
      <ddeItem name="@CTA[8-2-5-3-9-3924,J,6,#6]" advise="1">
        <values>
          <value t="nil">
            <val>1</val>
          </value>
        </values>
      </ddeItem>
      <ddeItem name="@CTA[8-2-5-3-9-3924,J,7,#6]" advise="1">
        <values>
          <value>
            <val>977.34</val>
          </value>
        </values>
      </ddeItem>
      <ddeItem name="@CTA[8-2-5-3-9-3924,J,8,#6]" advise="1">
        <values>
          <value>
            <val>390.94</val>
          </value>
        </values>
      </ddeItem>
      <ddeItem name="@CTA[8-2-5-3-9-3924,J,9,#6]" advise="1">
        <values>
          <value>
            <val>390.94</val>
          </value>
        </values>
      </ddeItem>
      <ddeItem name="@CTA[8-2-5-3-9-3925,J,1,#6]" advise="1">
        <values>
          <value>
            <val>3163.51</val>
          </value>
        </values>
      </ddeItem>
      <ddeItem name="@CTA[8-2-5-3-9-3925,J,2,#6]" advise="1">
        <values>
          <value>
            <val>202.59</val>
          </value>
        </values>
      </ddeItem>
      <ddeItem name="@CTA[8-2-5-3-9-3925,J,3,#6]" advise="1">
        <values>
          <value>
            <val>5207</val>
          </value>
        </values>
      </ddeItem>
      <ddeItem name="@CTA[8-2-5-3-9-3925,J,4,#6]" advise="1">
        <values>
          <value>
            <val>0</val>
          </value>
        </values>
      </ddeItem>
      <ddeItem name="@CTA[8-2-5-3-9-3925,J,5,#6]" advise="1">
        <values>
          <value>
            <val>0</val>
          </value>
        </values>
      </ddeItem>
      <ddeItem name="@CTA[8-2-5-3-9-3925,J,6,#6]" advise="1">
        <values>
          <value>
            <val>0</val>
          </value>
        </values>
      </ddeItem>
      <ddeItem name="@CTA[8-2-5-3-9-3925,J,7,#6]" advise="1">
        <values>
          <value>
            <val>0</val>
          </value>
        </values>
      </ddeItem>
      <ddeItem name="@CTA[8-2-5-3-9-3925,J,8,#6]" advise="1">
        <values>
          <value>
            <val>202.59</val>
          </value>
        </values>
      </ddeItem>
      <ddeItem name="@CTA[8-2-5-3-9-3925,J,9,#6]" advise="1">
        <values>
          <value>
            <val>202.59</val>
          </value>
        </values>
      </ddeItem>
      <ddeItem name="@CTA[8-2-5-3-9-3926,J,1,#6]" advise="1">
        <values>
          <value t="nil">
            <val>1</val>
          </value>
        </values>
      </ddeItem>
      <ddeItem name="@CTA[8-2-5-3-9-3926,J,2,#6]" advise="1">
        <values>
          <value t="nil">
            <val>1</val>
          </value>
        </values>
      </ddeItem>
      <ddeItem name="@CTA[8-2-5-3-9-3926,J,3,#6]" advise="1">
        <values>
          <value>
            <val>0</val>
          </value>
        </values>
      </ddeItem>
      <ddeItem name="@CTA[8-2-5-3-9-3926,J,4,#6]" advise="1">
        <values>
          <value t="nil">
            <val>1</val>
          </value>
        </values>
      </ddeItem>
      <ddeItem name="@CTA[8-2-5-3-9-3926,J,5,#6]" advise="1">
        <values>
          <value t="nil">
            <val>1</val>
          </value>
        </values>
      </ddeItem>
      <ddeItem name="@CTA[8-2-5-3-9-3926,J,6,#6]" advise="1">
        <values>
          <value t="nil">
            <val>1</val>
          </value>
        </values>
      </ddeItem>
      <ddeItem name="@CTA[8-2-5-3-9-3926,J,7,#6]" advise="1">
        <values>
          <value t="nil">
            <val>1</val>
          </value>
        </values>
      </ddeItem>
      <ddeItem name="@CTA[8-2-5-3-9-3926,J,8,#6]" advise="1">
        <values>
          <value t="nil">
            <val>1</val>
          </value>
        </values>
      </ddeItem>
      <ddeItem name="@CTA[8-2-5-3-9-3926,J,9,#6]" advise="1">
        <values>
          <value t="nil">
            <val>1</val>
          </value>
        </values>
      </ddeItem>
      <ddeItem name="@CTA[8-2-5-3-9-3961,J,1,#6]" advise="1">
        <values>
          <value>
            <val>0</val>
          </value>
        </values>
      </ddeItem>
      <ddeItem name="@CTA[8-2-5-3-9-3961,J,2,#6]" advise="1">
        <values>
          <value>
            <val>0</val>
          </value>
        </values>
      </ddeItem>
      <ddeItem name="@CTA[8-2-5-3-9-3961,J,3,#6]" advise="1">
        <values>
          <value>
            <val>0</val>
          </value>
        </values>
      </ddeItem>
      <ddeItem name="@CTA[8-2-5-3-9-3961,J,4,#6]" advise="1">
        <values>
          <value t="nil">
            <val>1</val>
          </value>
        </values>
      </ddeItem>
      <ddeItem name="@CTA[8-2-5-3-9-3961,J,5,#6]" advise="1">
        <values>
          <value t="nil">
            <val>1</val>
          </value>
        </values>
      </ddeItem>
      <ddeItem name="@CTA[8-2-5-3-9-3961,J,6,#6]" advise="1">
        <values>
          <value t="nil">
            <val>1</val>
          </value>
        </values>
      </ddeItem>
      <ddeItem name="@CTA[8-2-5-3-9-3961,J,7,#6]" advise="1">
        <values>
          <value t="nil">
            <val>1</val>
          </value>
        </values>
      </ddeItem>
      <ddeItem name="@CTA[8-2-5-3-9-3961,J,8,#6]" advise="1">
        <values>
          <value t="nil">
            <val>1</val>
          </value>
        </values>
      </ddeItem>
      <ddeItem name="@CTA[8-2-5-3-9-3961,J,9,#6]" advise="1">
        <values>
          <value t="nil">
            <val>1</val>
          </value>
        </values>
      </ddeItem>
      <ddeItem name="@CTA[8-2-5-3-9-3962,J,1,#6]" advise="1">
        <values>
          <value>
            <val>4195.74</val>
          </value>
        </values>
      </ddeItem>
      <ddeItem name="@CTA[8-2-5-3-9-3962,J,2,#6]" advise="1">
        <values>
          <value t="nil">
            <val>1</val>
          </value>
        </values>
      </ddeItem>
      <ddeItem name="@CTA[8-2-5-3-9-3962,J,3,#6]" advise="1">
        <values>
          <value>
            <val>0</val>
          </value>
        </values>
      </ddeItem>
      <ddeItem name="@CTA[8-2-5-3-9-3962,J,4,#6]" advise="1">
        <values>
          <value>
            <val>5330</val>
          </value>
        </values>
      </ddeItem>
      <ddeItem name="@CTA[8-2-5-3-9-3962,J,5,#6]" advise="1">
        <values>
          <value>
            <val>0</val>
          </value>
        </values>
      </ddeItem>
      <ddeItem name="@CTA[8-2-5-3-9-3962,J,6,#6]" advise="1">
        <values>
          <value t="nil">
            <val>1</val>
          </value>
        </values>
      </ddeItem>
      <ddeItem name="@CTA[8-2-5-3-9-3962,J,7,#6]" advise="1">
        <values>
          <value>
            <val>2549.48</val>
          </value>
        </values>
      </ddeItem>
      <ddeItem name="@CTA[8-2-5-3-9-3962,J,8,#6]" advise="1">
        <values>
          <value>
            <val>0</val>
          </value>
        </values>
      </ddeItem>
      <ddeItem name="@CTA[8-2-5-3-9-3962,J,9,#6]" advise="1">
        <values>
          <value t="nil">
            <val>1</val>
          </value>
        </values>
      </ddeItem>
      <ddeItem name="@CTA[8-2-5-3-9-3981,J,1,#6]" advise="1">
        <values>
          <value>
            <val>18618.3</val>
          </value>
        </values>
      </ddeItem>
      <ddeItem name="@CTA[8-2-5-3-9-3981,J,2,#6]" advise="1">
        <values>
          <value>
            <val>5578.25</val>
          </value>
        </values>
      </ddeItem>
      <ddeItem name="@CTA[8-2-5-3-9-3981,J,3,#6]" advise="1">
        <values>
          <value>
            <val>5747.17</val>
          </value>
        </values>
      </ddeItem>
      <ddeItem name="@CTA[8-2-5-3-9-3981,J,4,#6]" advise="1">
        <values>
          <value>
            <val>4222.17</val>
          </value>
        </values>
      </ddeItem>
      <ddeItem name="@CTA[8-2-5-3-9-3981,J,5,#6]" advise="1">
        <values>
          <value>
            <val>5943.32</val>
          </value>
        </values>
      </ddeItem>
      <ddeItem name="@CTA[8-2-5-3-9-3981,J,6,#6]" advise="1">
        <values>
          <value>
            <val>1625.3200000000002</val>
          </value>
        </values>
      </ddeItem>
      <ddeItem name="@CTA[8-2-5-3-9-3981,J,7,#6]" advise="1">
        <values>
          <value>
            <val>5581.42</val>
          </value>
        </values>
      </ddeItem>
      <ddeItem name="@CTA[8-2-5-3-9-3981,J,8,#6]" advise="1">
        <values>
          <value>
            <val>1567.73</val>
          </value>
        </values>
      </ddeItem>
      <ddeItem name="@CTA[8-2-5-3-9-3981,J,9,#6]" advise="1">
        <values>
          <value>
            <val>3212.6499999999996</val>
          </value>
        </values>
      </ddeItem>
      <ddeItem name="@CTA[8-2-5-4,J,#4]" advise="1">
        <values>
          <value t="nil">
            <val>1</val>
          </value>
        </values>
      </ddeItem>
      <ddeItem name="@CTA[8-2-5-4-1,J,#5]" advise="1">
        <values>
          <value t="nil">
            <val>1</val>
          </value>
        </values>
      </ddeItem>
      <ddeItem name="@CTA[8-2-5-4-2,J,#5]" advise="1">
        <values>
          <value t="nil">
            <val>1</val>
          </value>
        </values>
      </ddeItem>
      <ddeItem name="@CTA[8-2-5-4-3,J,#5]" advise="1">
        <values>
          <value t="nil">
            <val>1</val>
          </value>
        </values>
      </ddeItem>
      <ddeItem name="@CTA[8-2-5-4-4,J,#5]" advise="1">
        <values>
          <value t="nil">
            <val>1</val>
          </value>
        </values>
      </ddeItem>
      <ddeItem name="@CTA[8-2-5-4-5,J,#5]" advise="1">
        <values>
          <value t="nil">
            <val>1</val>
          </value>
        </values>
      </ddeItem>
      <ddeItem name="@CTA[8-2-5-4-6,J,#5]" advise="1">
        <values>
          <value t="nil">
            <val>1</val>
          </value>
        </values>
      </ddeItem>
      <ddeItem name="@CTA[8-2-5-4-7,J,#5]" advise="1">
        <values>
          <value t="nil">
            <val>1</val>
          </value>
        </values>
      </ddeItem>
      <ddeItem name="@CTA[8-2-5-4-8,J,#5]" advise="1">
        <values>
          <value t="nil">
            <val>1</val>
          </value>
        </values>
      </ddeItem>
      <ddeItem name="@CTA[8-2-5-4-9,J,#5]" advise="1">
        <values>
          <value t="nil">
            <val>1</val>
          </value>
        </values>
      </ddeItem>
      <ddeItem name="@CTA[8-2-5-5,J,#4]" advise="1">
        <values>
          <value>
            <val>55682.479999999996</val>
          </value>
        </values>
      </ddeItem>
      <ddeItem name="@CTA[8-2-5-5-1,J,#5]" advise="1">
        <values>
          <value>
            <val>8864.64</val>
          </value>
        </values>
      </ddeItem>
      <ddeItem name="@CTA[8-2-5-5-1-5111,J,1,#6]" advise="1">
        <values>
          <value>
            <val>0</val>
          </value>
        </values>
      </ddeItem>
      <ddeItem name="@CTA[8-2-5-5-1-5111,J,2,#6]" advise="1">
        <values>
          <value>
            <val>0</val>
          </value>
        </values>
      </ddeItem>
      <ddeItem name="@CTA[8-2-5-5-1-5111,J,3,#6]" advise="1">
        <values>
          <value>
            <val>0</val>
          </value>
        </values>
      </ddeItem>
      <ddeItem name="@CTA[8-2-5-5-1-5111,J,4,#6]" advise="1">
        <values>
          <value>
            <val>0</val>
          </value>
        </values>
      </ddeItem>
      <ddeItem name="@CTA[8-2-5-5-1-5111,J,5,#6]" advise="1">
        <values>
          <value>
            <val>0</val>
          </value>
        </values>
      </ddeItem>
      <ddeItem name="@CTA[8-2-5-5-1-5111,J,6,#6]" advise="1">
        <values>
          <value t="nil">
            <val>1</val>
          </value>
        </values>
      </ddeItem>
      <ddeItem name="@CTA[8-2-5-5-1-5111,J,7,#6]" advise="1">
        <values>
          <value>
            <val>0</val>
          </value>
        </values>
      </ddeItem>
      <ddeItem name="@CTA[8-2-5-5-1-5111,J,8,#6]" advise="1">
        <values>
          <value>
            <val>0</val>
          </value>
        </values>
      </ddeItem>
      <ddeItem name="@CTA[8-2-5-5-1-5111,J,9,#6]" advise="1">
        <values>
          <value>
            <val>0</val>
          </value>
        </values>
      </ddeItem>
      <ddeItem name="@CTA[8-2-5-5-1-5151,J,1,#6]" advise="1">
        <values>
          <value>
            <val>0</val>
          </value>
        </values>
      </ddeItem>
      <ddeItem name="@CTA[8-2-5-5-1-5151,J,2,#6]" advise="1">
        <values>
          <value t="nil">
            <val>1</val>
          </value>
        </values>
      </ddeItem>
      <ddeItem name="@CTA[8-2-5-5-1-5151,J,3,#6]" advise="1">
        <values>
          <value>
            <val>0</val>
          </value>
        </values>
      </ddeItem>
      <ddeItem name="@CTA[8-2-5-5-1-5151,J,4,#6]" advise="1">
        <values>
          <value t="nil">
            <val>1</val>
          </value>
        </values>
      </ddeItem>
      <ddeItem name="@CTA[8-2-5-5-1-5151,J,5,#6]" advise="1">
        <values>
          <value>
            <val>0</val>
          </value>
        </values>
      </ddeItem>
      <ddeItem name="@CTA[8-2-5-5-1-5151,J,6,#6]" advise="1">
        <values>
          <value>
            <val>0</val>
          </value>
        </values>
      </ddeItem>
      <ddeItem name="@CTA[8-2-5-5-1-5151,J,7,#6]" advise="1">
        <values>
          <value>
            <val>0</val>
          </value>
        </values>
      </ddeItem>
      <ddeItem name="@CTA[8-2-5-5-1-5151,J,8,#6]" advise="1">
        <values>
          <value>
            <val>0</val>
          </value>
        </values>
      </ddeItem>
      <ddeItem name="@CTA[8-2-5-5-1-5151,J,9,#6]" advise="1">
        <values>
          <value>
            <val>0</val>
          </value>
        </values>
      </ddeItem>
      <ddeItem name="@CTA[8-2-5-5-1-5152,J,1,#6]" advise="1">
        <values>
          <value t="nil">
            <val>1</val>
          </value>
        </values>
      </ddeItem>
      <ddeItem name="@CTA[8-2-5-5-1-5152,J,2,#6]" advise="1">
        <values>
          <value>
            <val>0</val>
          </value>
        </values>
      </ddeItem>
      <ddeItem name="@CTA[8-2-5-5-1-5152,J,3,#6]" advise="1">
        <values>
          <value t="nil">
            <val>1</val>
          </value>
        </values>
      </ddeItem>
      <ddeItem name="@CTA[8-2-5-5-1-5152,J,4,#6]" advise="1">
        <values>
          <value>
            <val>8864.64</val>
          </value>
        </values>
      </ddeItem>
      <ddeItem name="@CTA[8-2-5-5-1-5152,J,5,#6]" advise="1">
        <values>
          <value>
            <val>0</val>
          </value>
        </values>
      </ddeItem>
      <ddeItem name="@CTA[8-2-5-5-1-5152,J,6,#6]" advise="1">
        <values>
          <value>
            <val>0</val>
          </value>
        </values>
      </ddeItem>
      <ddeItem name="@CTA[8-2-5-5-1-5152,J,7,#6]" advise="1">
        <values>
          <value t="nil">
            <val>1</val>
          </value>
        </values>
      </ddeItem>
      <ddeItem name="@CTA[8-2-5-5-1-5152,J,8,#6]" advise="1">
        <values>
          <value t="nil">
            <val>1</val>
          </value>
        </values>
      </ddeItem>
      <ddeItem name="@CTA[8-2-5-5-1-5152,J,9,#6]" advise="1">
        <values>
          <value t="nil">
            <val>1</val>
          </value>
        </values>
      </ddeItem>
      <ddeItem name="@CTA[8-2-5-5-1-5153,J,1,#6]" advise="1">
        <values>
          <value t="nil">
            <val>1</val>
          </value>
        </values>
      </ddeItem>
      <ddeItem name="@CTA[8-2-5-5-1-5153,J,2,#6]" advise="1">
        <values>
          <value t="nil">
            <val>1</val>
          </value>
        </values>
      </ddeItem>
      <ddeItem name="@CTA[8-2-5-5-1-5153,J,3,#6]" advise="1">
        <values>
          <value t="nil">
            <val>1</val>
          </value>
        </values>
      </ddeItem>
      <ddeItem name="@CTA[8-2-5-5-1-5153,J,4,#6]" advise="1">
        <values>
          <value t="nil">
            <val>1</val>
          </value>
        </values>
      </ddeItem>
      <ddeItem name="@CTA[8-2-5-5-1-5153,J,5,#6]" advise="1">
        <values>
          <value t="nil">
            <val>1</val>
          </value>
        </values>
      </ddeItem>
      <ddeItem name="@CTA[8-2-5-5-1-5153,J,6,#6]" advise="1">
        <values>
          <value>
            <val>0</val>
          </value>
        </values>
      </ddeItem>
      <ddeItem name="@CTA[8-2-5-5-1-5153,J,7,#6]" advise="1">
        <values>
          <value>
            <val>0</val>
          </value>
        </values>
      </ddeItem>
      <ddeItem name="@CTA[8-2-5-5-1-5153,J,8,#6]" advise="1">
        <values>
          <value t="nil">
            <val>1</val>
          </value>
        </values>
      </ddeItem>
      <ddeItem name="@CTA[8-2-5-5-1-5153,J,9,#6]" advise="1">
        <values>
          <value t="nil">
            <val>1</val>
          </value>
        </values>
      </ddeItem>
      <ddeItem name="@CTA[8-2-5-5-2,J,#5]" advise="1">
        <values>
          <value>
            <val>24059.22</val>
          </value>
        </values>
      </ddeItem>
      <ddeItem name="@CTA[8-2-5-5-2-5231,J,1,#6]" advise="1">
        <values>
          <value>
            <val>0</val>
          </value>
        </values>
      </ddeItem>
      <ddeItem name="@CTA[8-2-5-5-2-5231,J,2,#6]" advise="1">
        <values>
          <value>
            <val>0</val>
          </value>
        </values>
      </ddeItem>
      <ddeItem name="@CTA[8-2-5-5-2-5231,J,3,#6]" advise="1">
        <values>
          <value>
            <val>0</val>
          </value>
        </values>
      </ddeItem>
      <ddeItem name="@CTA[8-2-5-5-2-5231,J,4,#6]" advise="1">
        <values>
          <value>
            <val>0</val>
          </value>
        </values>
      </ddeItem>
      <ddeItem name="@CTA[8-2-5-5-2-5231,J,5,#6]" advise="1">
        <values>
          <value t="nil">
            <val>1</val>
          </value>
        </values>
      </ddeItem>
      <ddeItem name="@CTA[8-2-5-5-2-5231,J,6,#6]" advise="1">
        <values>
          <value t="nil">
            <val>1</val>
          </value>
        </values>
      </ddeItem>
      <ddeItem name="@CTA[8-2-5-5-2-5231,J,7,#6]" advise="1">
        <values>
          <value t="nil">
            <val>1</val>
          </value>
        </values>
      </ddeItem>
      <ddeItem name="@CTA[8-2-5-5-2-5231,J,8,#6]" advise="1">
        <values>
          <value>
            <val>0</val>
          </value>
        </values>
      </ddeItem>
      <ddeItem name="@CTA[8-2-5-5-2-5231,J,9,#6]" advise="1">
        <values>
          <value t="nil">
            <val>1</val>
          </value>
        </values>
      </ddeItem>
      <ddeItem name="@CTA[8-2-5-5-3,J,#5]" advise="1">
        <values>
          <value>
            <val>0</val>
          </value>
        </values>
      </ddeItem>
      <ddeItem name="@CTA[8-2-5-5-3-5311,J,7,#6]" advise="1">
        <values>
          <value>
            <val>0</val>
          </value>
        </values>
      </ddeItem>
      <ddeItem name="@CTA[8-2-5-5-4,J,#5]" advise="1">
        <values>
          <value>
            <val>22758.62</val>
          </value>
        </values>
      </ddeItem>
      <ddeItem name="@CTA[8-2-5-5-4-5411,J,1,#6]" advise="1">
        <values>
          <value t="nil">
            <val>1</val>
          </value>
        </values>
      </ddeItem>
      <ddeItem name="@CTA[8-2-5-5-4-5411,J,2,#6]" advise="1">
        <values>
          <value t="nil">
            <val>1</val>
          </value>
        </values>
      </ddeItem>
      <ddeItem name="@CTA[8-2-5-5-4-5411,J,3,#6]" advise="1">
        <values>
          <value t="nil">
            <val>1</val>
          </value>
        </values>
      </ddeItem>
      <ddeItem name="@CTA[8-2-5-5-4-5411,J,4,#6]" advise="1">
        <values>
          <value t="nil">
            <val>1</val>
          </value>
        </values>
      </ddeItem>
      <ddeItem name="@CTA[8-2-5-5-4-5411,J,5,#6]" advise="1">
        <values>
          <value t="nil">
            <val>1</val>
          </value>
        </values>
      </ddeItem>
      <ddeItem name="@CTA[8-2-5-5-4-5411,J,6,#6]" advise="1">
        <values>
          <value t="nil">
            <val>1</val>
          </value>
        </values>
      </ddeItem>
      <ddeItem name="@CTA[8-2-5-5-4-5411,J,7,#6]" advise="1">
        <values>
          <value t="nil">
            <val>1</val>
          </value>
        </values>
      </ddeItem>
      <ddeItem name="@CTA[8-2-5-5-4-5411,J,8,#6]" advise="1">
        <values>
          <value t="nil">
            <val>1</val>
          </value>
        </values>
      </ddeItem>
      <ddeItem name="@CTA[8-2-5-5-4-5411,J,9,#6]" advise="1">
        <values>
          <value t="nil">
            <val>1</val>
          </value>
        </values>
      </ddeItem>
      <ddeItem name="@CTA[8-2-5-5-4-5491,J,1,#6]" advise="1">
        <values>
          <value>
            <val>22758.62</val>
          </value>
        </values>
      </ddeItem>
      <ddeItem name="@CTA[8-2-5-5-4-5491,J,2,#6]" advise="1">
        <values>
          <value t="nil">
            <val>1</val>
          </value>
        </values>
      </ddeItem>
      <ddeItem name="@CTA[8-2-5-5-4-5491,J,3,#6]" advise="1">
        <values>
          <value t="nil">
            <val>1</val>
          </value>
        </values>
      </ddeItem>
      <ddeItem name="@CTA[8-2-5-5-4-5491,J,4,#6]" advise="1">
        <values>
          <value t="nil">
            <val>1</val>
          </value>
        </values>
      </ddeItem>
      <ddeItem name="@CTA[8-2-5-5-4-5491,J,5,#6]" advise="1">
        <values>
          <value>
            <val>0</val>
          </value>
        </values>
      </ddeItem>
      <ddeItem name="@CTA[8-2-5-5-4-5491,J,6,#6]" advise="1">
        <values>
          <value t="nil">
            <val>1</val>
          </value>
        </values>
      </ddeItem>
      <ddeItem name="@CTA[8-2-5-5-4-5491,J,7,#6]" advise="1">
        <values>
          <value t="nil">
            <val>1</val>
          </value>
        </values>
      </ddeItem>
      <ddeItem name="@CTA[8-2-5-5-4-5491,J,8,#6]" advise="1">
        <values>
          <value t="nil">
            <val>1</val>
          </value>
        </values>
      </ddeItem>
      <ddeItem name="@CTA[8-2-5-5-4-5491,J,9,#6]" advise="1">
        <values>
          <value t="nil">
            <val>1</val>
          </value>
        </values>
      </ddeItem>
      <ddeItem name="@CTA[8-2-5-5-5,J,#5]" advise="1">
        <values>
          <value>
            <val>0</val>
          </value>
        </values>
      </ddeItem>
      <ddeItem name="@CTA[8-2-5-5-6,J,#5]" advise="1">
        <values>
          <value>
            <val>0</val>
          </value>
        </values>
      </ddeItem>
      <ddeItem name="@CTA[8-2-5-5-6-5631,J,1,#6]" advise="1">
        <values>
          <value>
            <val>0</val>
          </value>
        </values>
      </ddeItem>
      <ddeItem name="@CTA[8-2-5-5-6-5631,J,2,#6]" advise="1">
        <values>
          <value t="nil">
            <val>1</val>
          </value>
        </values>
      </ddeItem>
      <ddeItem name="@CTA[8-2-5-5-6-5631,J,3,#6]" advise="1">
        <values>
          <value t="nil">
            <val>1</val>
          </value>
        </values>
      </ddeItem>
      <ddeItem name="@CTA[8-2-5-5-6-5631,J,4,#6]" advise="1">
        <values>
          <value t="nil">
            <val>1</val>
          </value>
        </values>
      </ddeItem>
      <ddeItem name="@CTA[8-2-5-5-6-5631,J,5,#6]" advise="1">
        <values>
          <value t="nil">
            <val>1</val>
          </value>
        </values>
      </ddeItem>
      <ddeItem name="@CTA[8-2-5-5-6-5631,J,6,#6]" advise="1">
        <values>
          <value t="nil">
            <val>1</val>
          </value>
        </values>
      </ddeItem>
      <ddeItem name="@CTA[8-2-5-5-6-5631,J,7,#6]" advise="1">
        <values>
          <value t="nil">
            <val>1</val>
          </value>
        </values>
      </ddeItem>
      <ddeItem name="@CTA[8-2-5-5-6-5631,J,8,#6]" advise="1">
        <values>
          <value t="nil">
            <val>1</val>
          </value>
        </values>
      </ddeItem>
      <ddeItem name="@CTA[8-2-5-5-6-5631,J,9,#6]" advise="1">
        <values>
          <value t="nil">
            <val>1</val>
          </value>
        </values>
      </ddeItem>
      <ddeItem name="@CTA[8-2-5-5-6-5632,J,1,#6]" advise="1">
        <values>
          <value>
            <val>0</val>
          </value>
        </values>
      </ddeItem>
      <ddeItem name="@CTA[8-2-5-5-6-5632,J,9,#6]" advise="1">
        <values>
          <value>
            <val>0</val>
          </value>
        </values>
      </ddeItem>
      <ddeItem name="@CTA[8-2-5-5-6-5651,J,1,#6]" advise="1">
        <values>
          <value>
            <val>0</val>
          </value>
        </values>
      </ddeItem>
      <ddeItem name="@CTA[8-2-5-5-6-5651,J,2,#6]" advise="1">
        <values>
          <value t="nil">
            <val>1</val>
          </value>
        </values>
      </ddeItem>
      <ddeItem name="@CTA[8-2-5-5-6-5651,J,3,#6]" advise="1">
        <values>
          <value t="nil">
            <val>1</val>
          </value>
        </values>
      </ddeItem>
      <ddeItem name="@CTA[8-2-5-5-6-5651,J,4,#6]" advise="1">
        <values>
          <value t="nil">
            <val>1</val>
          </value>
        </values>
      </ddeItem>
      <ddeItem name="@CTA[8-2-5-5-6-5651,J,5,#6]" advise="1">
        <values>
          <value t="nil">
            <val>1</val>
          </value>
        </values>
      </ddeItem>
      <ddeItem name="@CTA[8-2-5-5-6-5651,J,6,#6]" advise="1">
        <values>
          <value t="nil">
            <val>1</val>
          </value>
        </values>
      </ddeItem>
      <ddeItem name="@CTA[8-2-5-5-6-5651,J,7,#6]" advise="1">
        <values>
          <value>
            <val>0</val>
          </value>
        </values>
      </ddeItem>
      <ddeItem name="@CTA[8-2-5-5-6-5651,J,8,#6]" advise="1">
        <values>
          <value t="nil">
            <val>1</val>
          </value>
        </values>
      </ddeItem>
      <ddeItem name="@CTA[8-2-5-5-6-5651,J,9,#6]" advise="1">
        <values>
          <value t="nil">
            <val>1</val>
          </value>
        </values>
      </ddeItem>
      <ddeItem name="@CTA[8-2-5-5-6-5653,J,8,#6]" advise="1">
        <values>
          <value>
            <val>0</val>
          </value>
        </values>
      </ddeItem>
      <ddeItem name="@CTA[8-2-5-5-6-5671,J,1,#6]" advise="1">
        <values>
          <value>
            <val>0</val>
          </value>
        </values>
      </ddeItem>
      <ddeItem name="@CTA[8-2-5-5-6-5671,J,2,#6]" advise="1">
        <values>
          <value t="nil">
            <val>1</val>
          </value>
        </values>
      </ddeItem>
      <ddeItem name="@CTA[8-2-5-5-6-5671,J,3,#6]" advise="1">
        <values>
          <value>
            <val>0</val>
          </value>
        </values>
      </ddeItem>
      <ddeItem name="@CTA[8-2-5-5-6-5671,J,4,#6]" advise="1">
        <values>
          <value t="nil">
            <val>1</val>
          </value>
        </values>
      </ddeItem>
      <ddeItem name="@CTA[8-2-5-5-6-5671,J,5,#6]" advise="1">
        <values>
          <value t="nil">
            <val>1</val>
          </value>
        </values>
      </ddeItem>
      <ddeItem name="@CTA[8-2-5-5-6-5671,J,6,#6]" advise="1">
        <values>
          <value t="nil">
            <val>1</val>
          </value>
        </values>
      </ddeItem>
      <ddeItem name="@CTA[8-2-5-5-6-5671,J,7,#6]" advise="1">
        <values>
          <value>
            <val>0</val>
          </value>
        </values>
      </ddeItem>
      <ddeItem name="@CTA[8-2-5-5-6-5671,J,8,#6]" advise="1">
        <values>
          <value t="nil">
            <val>1</val>
          </value>
        </values>
      </ddeItem>
      <ddeItem name="@CTA[8-2-5-5-6-5671,J,9,#6]" advise="1">
        <values>
          <value t="nil">
            <val>1</val>
          </value>
        </values>
      </ddeItem>
      <ddeItem name="@CTA[8-2-5-5-6-5693,J,1,#6]" advise="1">
        <values>
          <value>
            <val>0</val>
          </value>
        </values>
      </ddeItem>
      <ddeItem name="@CTA[8-2-5-5-6-5694,J,3,#6]" advise="1">
        <values>
          <value>
            <val>0</val>
          </value>
        </values>
      </ddeItem>
      <ddeItem name="@CTA[8-2-5-5-7,J,#5]" advise="1">
        <values>
          <value t="nil">
            <val>1</val>
          </value>
        </values>
      </ddeItem>
      <ddeItem name="@CTA[8-2-5-5-8,J,#5]" advise="1">
        <values>
          <value>
            <val>0</val>
          </value>
        </values>
      </ddeItem>
      <ddeItem name="@CTA[8-2-5-5-9,J,#5]" advise="1">
        <values>
          <value>
            <val>0</val>
          </value>
        </values>
      </ddeItem>
      <ddeItem name="@CTA[8-2-5-5-9-5911,J,1,#6]" advise="1">
        <values>
          <value t="nil">
            <val>1</val>
          </value>
        </values>
      </ddeItem>
      <ddeItem name="@CTA[8-2-5-5-9-5911,J,2,#6]" advise="1">
        <values>
          <value t="nil">
            <val>1</val>
          </value>
        </values>
      </ddeItem>
      <ddeItem name="@CTA[8-2-5-5-9-5911,J,3,#6]" advise="1">
        <values>
          <value t="nil">
            <val>1</val>
          </value>
        </values>
      </ddeItem>
      <ddeItem name="@CTA[8-2-5-5-9-5911,J,4,#6]" advise="1">
        <values>
          <value>
            <val>0</val>
          </value>
        </values>
      </ddeItem>
      <ddeItem name="@CTA[8-2-5-5-9-5911,J,5,#6]" advise="1">
        <values>
          <value t="nil">
            <val>1</val>
          </value>
        </values>
      </ddeItem>
      <ddeItem name="@CTA[8-2-5-5-9-5911,J,6,#6]" advise="1">
        <values>
          <value>
            <val>0</val>
          </value>
        </values>
      </ddeItem>
      <ddeItem name="@CTA[8-2-5-5-9-5911,J,7,#6]" advise="1">
        <values>
          <value t="nil">
            <val>1</val>
          </value>
        </values>
      </ddeItem>
      <ddeItem name="@CTA[8-2-5-5-9-5911,J,8,#6]" advise="1">
        <values>
          <value t="nil">
            <val>1</val>
          </value>
        </values>
      </ddeItem>
      <ddeItem name="@CTA[8-2-5-5-9-5911,J,9,#6]" advise="1">
        <values>
          <value>
            <val>0</val>
          </value>
        </values>
      </ddeItem>
      <ddeItem name="@CTA[8-2-5-5-9-5951,J,2,#6]" advise="1">
        <values>
          <value t="nil">
            <val>1</val>
          </value>
        </values>
      </ddeItem>
      <ddeItem name="@CTA[8-2-5-6,J,#4]" advise="1">
        <values>
          <value>
            <val>2474305.5999999996</val>
          </value>
        </values>
      </ddeItem>
      <ddeItem name="@CTA[8-2-5-6-1,J,#5]" advise="1">
        <values>
          <value>
            <val>2474305.5999999996</val>
          </value>
        </values>
      </ddeItem>
      <ddeItem name="@CTA[8-2-5-6-1-6131,J,1,#6]" advise="1">
        <values>
          <value>
            <val>0</val>
          </value>
        </values>
      </ddeItem>
      <ddeItem name="@CTA[8-2-5-6-1-6131,J,2,#6]" advise="1">
        <values>
          <value t="nil">
            <val>1</val>
          </value>
        </values>
      </ddeItem>
      <ddeItem name="@CTA[8-2-5-6-1-6131,J,3,#6]" advise="1">
        <values>
          <value t="nil">
            <val>1</val>
          </value>
        </values>
      </ddeItem>
      <ddeItem name="@CTA[8-2-5-6-1-6131,J,4,#6]" advise="1">
        <values>
          <value t="nil">
            <val>1</val>
          </value>
        </values>
      </ddeItem>
      <ddeItem name="@CTA[8-2-5-6-1-6131,J,5,#6]" advise="1">
        <values>
          <value t="nil">
            <val>1</val>
          </value>
        </values>
      </ddeItem>
      <ddeItem name="@CTA[8-2-5-6-1-6131,J,6,#6]" advise="1">
        <values>
          <value t="nil">
            <val>1</val>
          </value>
        </values>
      </ddeItem>
      <ddeItem name="@CTA[8-2-5-6-1-6131,J,7,#6]" advise="1">
        <values>
          <value t="nil">
            <val>1</val>
          </value>
        </values>
      </ddeItem>
      <ddeItem name="@CTA[8-2-5-6-1-6131,J,8,#6]" advise="1">
        <values>
          <value t="nil">
            <val>1</val>
          </value>
        </values>
      </ddeItem>
      <ddeItem name="@CTA[8-2-5-6-1-6131,J,9,#6]" advise="1">
        <values>
          <value>
            <val>0</val>
          </value>
        </values>
      </ddeItem>
      <ddeItem name="@CTA[8-2-5-6-1-6161,J,1,#6]" advise="1">
        <values>
          <value>
            <val>0</val>
          </value>
        </values>
      </ddeItem>
      <ddeItem name="@CTA[8-2-5-6-1-6161,J,2,#6]" advise="1">
        <values>
          <value t="nil">
            <val>1</val>
          </value>
        </values>
      </ddeItem>
      <ddeItem name="@CTA[8-2-5-6-1-6161,J,3,#6]" advise="1">
        <values>
          <value t="nil">
            <val>1</val>
          </value>
        </values>
      </ddeItem>
      <ddeItem name="@CTA[8-2-5-6-1-6161,J,4,#6]" advise="1">
        <values>
          <value t="nil">
            <val>1</val>
          </value>
        </values>
      </ddeItem>
      <ddeItem name="@CTA[8-2-5-6-1-6161,J,5,#6]" advise="1">
        <values>
          <value t="nil">
            <val>1</val>
          </value>
        </values>
      </ddeItem>
      <ddeItem name="@CTA[8-2-5-6-1-6161,J,6,#6]" advise="1">
        <values>
          <value t="nil">
            <val>1</val>
          </value>
        </values>
      </ddeItem>
      <ddeItem name="@CTA[8-2-5-6-1-6161,J,7,#6]" advise="1">
        <values>
          <value>
            <val>0</val>
          </value>
        </values>
      </ddeItem>
      <ddeItem name="@CTA[8-2-5-6-1-6161,J,8,#6]" advise="1">
        <values>
          <value t="nil">
            <val>1</val>
          </value>
        </values>
      </ddeItem>
      <ddeItem name="@CTA[8-2-5-6-1-6161,J,9,#6]" advise="1">
        <values>
          <value>
            <val>0</val>
          </value>
        </values>
      </ddeItem>
      <ddeItem name="@CTA[8-2-5-6-1-6162,J,1,#6]" advise="1">
        <values>
          <value>
            <val>0</val>
          </value>
        </values>
      </ddeItem>
      <ddeItem name="@CTA[8-2-5-6-1-6162,J,2,#6]" advise="1">
        <values>
          <value t="nil">
            <val>1</val>
          </value>
        </values>
      </ddeItem>
      <ddeItem name="@CTA[8-2-5-6-1-6162,J,3,#6]" advise="1">
        <values>
          <value t="nil">
            <val>1</val>
          </value>
        </values>
      </ddeItem>
      <ddeItem name="@CTA[8-2-5-6-1-6162,J,4,#6]" advise="1">
        <values>
          <value t="nil">
            <val>1</val>
          </value>
        </values>
      </ddeItem>
      <ddeItem name="@CTA[8-2-5-6-1-6162,J,5,#6]" advise="1">
        <values>
          <value t="nil">
            <val>1</val>
          </value>
        </values>
      </ddeItem>
      <ddeItem name="@CTA[8-2-5-6-1-6162,J,6,#6]" advise="1">
        <values>
          <value t="nil">
            <val>1</val>
          </value>
        </values>
      </ddeItem>
      <ddeItem name="@CTA[8-2-5-6-1-6162,J,7,#6]" advise="1">
        <values>
          <value t="nil">
            <val>1</val>
          </value>
        </values>
      </ddeItem>
      <ddeItem name="@CTA[8-2-5-6-1-6162,J,8,#6]" advise="1">
        <values>
          <value t="nil">
            <val>1</val>
          </value>
        </values>
      </ddeItem>
      <ddeItem name="@CTA[8-2-5-6-1-6162,J,9,#6]" advise="1">
        <values>
          <value>
            <val>1776253.7399999998</val>
          </value>
        </values>
      </ddeItem>
      <ddeItem name="@CTA[8-2-5-6-1-6171,J,1,#6]" advise="1">
        <values>
          <value>
            <val>0</val>
          </value>
        </values>
      </ddeItem>
      <ddeItem name="@CTA[8-2-5-6-1-6171,J,2,#6]" advise="1">
        <values>
          <value t="nil">
            <val>1</val>
          </value>
        </values>
      </ddeItem>
      <ddeItem name="@CTA[8-2-5-6-1-6171,J,3,#6]" advise="1">
        <values>
          <value t="nil">
            <val>1</val>
          </value>
        </values>
      </ddeItem>
      <ddeItem name="@CTA[8-2-5-6-1-6171,J,4,#6]" advise="1">
        <values>
          <value t="nil">
            <val>1</val>
          </value>
        </values>
      </ddeItem>
      <ddeItem name="@CTA[8-2-5-6-1-6171,J,5,#6]" advise="1">
        <values>
          <value t="nil">
            <val>1</val>
          </value>
        </values>
      </ddeItem>
      <ddeItem name="@CTA[8-2-5-6-1-6171,J,6,#6]" advise="1">
        <values>
          <value t="nil">
            <val>1</val>
          </value>
        </values>
      </ddeItem>
      <ddeItem name="@CTA[8-2-5-6-1-6171,J,7,#6]" advise="1">
        <values>
          <value t="nil">
            <val>1</val>
          </value>
        </values>
      </ddeItem>
      <ddeItem name="@CTA[8-2-5-6-1-6171,J,8,#6]" advise="1">
        <values>
          <value t="nil">
            <val>1</val>
          </value>
        </values>
      </ddeItem>
      <ddeItem name="@CTA[8-2-5-6-1-6171,J,9,#6]" advise="1">
        <values>
          <value>
            <val>698051.86</val>
          </value>
        </values>
      </ddeItem>
      <ddeItem name="@CTA[8-2-5-6-2,J,#5]" advise="1">
        <values>
          <value t="nil">
            <val>1</val>
          </value>
        </values>
      </ddeItem>
      <ddeItem name="@CTA[8-2-5-6-2-6221,J,1,#6]" advise="1">
        <values>
          <value t="nil">
            <val>1</val>
          </value>
        </values>
      </ddeItem>
      <ddeItem name="@CTA[8-2-5-6-3,J,#5]" advise="1">
        <values>
          <value t="nil">
            <val>1</val>
          </value>
        </values>
      </ddeItem>
      <ddeItem name="@CTA[8-2-5-7,J,#4]" advise="1">
        <values>
          <value t="nil">
            <val>1</val>
          </value>
        </values>
      </ddeItem>
      <ddeItem name="@CTA[8-2-5-7-1,J,#5]" advise="1">
        <values>
          <value t="nil">
            <val>1</val>
          </value>
        </values>
      </ddeItem>
      <ddeItem name="@CTA[8-2-5-7-2,J,#5]" advise="1">
        <values>
          <value t="nil">
            <val>1</val>
          </value>
        </values>
      </ddeItem>
      <ddeItem name="@CTA[8-2-5-7-3,J,#5]" advise="1">
        <values>
          <value t="nil">
            <val>1</val>
          </value>
        </values>
      </ddeItem>
      <ddeItem name="@CTA[8-2-5-7-4,J,#5]" advise="1">
        <values>
          <value t="nil">
            <val>1</val>
          </value>
        </values>
      </ddeItem>
      <ddeItem name="@CTA[8-2-5-7-5,J,#5]" advise="1">
        <values>
          <value t="nil">
            <val>1</val>
          </value>
        </values>
      </ddeItem>
      <ddeItem name="@CTA[8-2-5-7-6,J,#5]" advise="1">
        <values>
          <value t="nil">
            <val>1</val>
          </value>
        </values>
      </ddeItem>
      <ddeItem name="@CTA[8-2-5-7-9,J,#5]" advise="1">
        <values>
          <value t="nil">
            <val>1</val>
          </value>
        </values>
      </ddeItem>
      <ddeItem name="@CTA[8-2-5-8,J,#4]" advise="1">
        <values>
          <value t="nil">
            <val>1</val>
          </value>
        </values>
      </ddeItem>
      <ddeItem name="@CTA[8-2-5-8-1,J,#5]" advise="1">
        <values>
          <value t="nil">
            <val>1</val>
          </value>
        </values>
      </ddeItem>
      <ddeItem name="@CTA[8-2-5-8-3,J,#5]" advise="1">
        <values>
          <value t="nil">
            <val>1</val>
          </value>
        </values>
      </ddeItem>
      <ddeItem name="@CTA[8-2-5-8-5,J,#5]" advise="1">
        <values>
          <value t="nil">
            <val>1</val>
          </value>
        </values>
      </ddeItem>
      <ddeItem name="@CTA[8-2-5-9,J,#4]" advise="1">
        <values>
          <value t="nil">
            <val>1</val>
          </value>
        </values>
      </ddeItem>
      <ddeItem name="@CTA[8-2-5-9-1,J,#5]" advise="1">
        <values>
          <value t="nil">
            <val>1</val>
          </value>
        </values>
      </ddeItem>
      <ddeItem name="@CTA[8-2-5-9-2,J,#5]" advise="1">
        <values>
          <value t="nil">
            <val>1</val>
          </value>
        </values>
      </ddeItem>
      <ddeItem name="@CTA[8-2-5-9-3,J,#5]" advise="1">
        <values>
          <value t="nil">
            <val>1</val>
          </value>
        </values>
      </ddeItem>
      <ddeItem name="@CTA[8-2-5-9-4,J,#5]" advise="1">
        <values>
          <value t="nil">
            <val>1</val>
          </value>
        </values>
      </ddeItem>
      <ddeItem name="@CTA[8-2-5-9-5,J,#5]" advise="1">
        <values>
          <value t="nil">
            <val>1</val>
          </value>
        </values>
      </ddeItem>
      <ddeItem name="@CTA[8-2-5-9-6,J,#5]" advise="1">
        <values>
          <value t="nil">
            <val>1</val>
          </value>
        </values>
      </ddeItem>
      <ddeItem name="@CTA[8-2-5-9-9,J,#5]" advise="1">
        <values>
          <value t="nil">
            <val>1</val>
          </value>
        </values>
      </ddeItem>
      <ddeItem name="@CTA[8-2-6-1-1-1131,J,1,#6]" advise="1">
        <values>
          <value>
            <val>813409.02</val>
          </value>
        </values>
      </ddeItem>
      <ddeItem name="@CTA[8-2-6-1-1-1131,J,2,#6]" advise="1">
        <values>
          <value>
            <val>144868.63</val>
          </value>
        </values>
      </ddeItem>
      <ddeItem name="@CTA[8-2-6-1-1-1131,J,3,#6]" advise="1">
        <values>
          <value>
            <val>260568.74</val>
          </value>
        </values>
      </ddeItem>
      <ddeItem name="@CTA[8-2-6-1-1-1131,J,4,#6]" advise="1">
        <values>
          <value>
            <val>190840.44</val>
          </value>
        </values>
      </ddeItem>
      <ddeItem name="@CTA[8-2-6-1-1-1131,J,5,#6]" advise="1">
        <values>
          <value>
            <val>260899.32</val>
          </value>
        </values>
      </ddeItem>
      <ddeItem name="@CTA[8-2-6-1-1-1131,J,6,#6]" advise="1">
        <values>
          <value>
            <val>75432.760000000009</val>
          </value>
        </values>
      </ddeItem>
      <ddeItem name="@CTA[8-2-6-1-1-1131,J,7,#6]" advise="1">
        <values>
          <value>
            <val>240597.76999999996</val>
          </value>
        </values>
      </ddeItem>
      <ddeItem name="@CTA[8-2-6-1-1-1131,J,8,#6]" advise="1">
        <values>
          <value>
            <val>68994.81</val>
          </value>
        </values>
      </ddeItem>
      <ddeItem name="@CTA[8-2-6-1-1-1131,J,9,#6]" advise="1">
        <values>
          <value>
            <val>154351.23000000001</val>
          </value>
        </values>
      </ddeItem>
      <ddeItem name="@CTA[8-2-6-1-2-1211,J,1,#6]" advise="1">
        <values>
          <value t="nil">
            <val>1</val>
          </value>
        </values>
      </ddeItem>
      <ddeItem name="@CTA[8-2-6-1-2-1211,J,2,#6]" advise="1">
        <values>
          <value>
            <val>131985.1</val>
          </value>
        </values>
      </ddeItem>
      <ddeItem name="@CTA[8-2-6-1-2-1211,J,3,#6]" advise="1">
        <values>
          <value>
            <val>0</val>
          </value>
        </values>
      </ddeItem>
      <ddeItem name="@CTA[8-2-6-1-2-1211,J,4,#6]" advise="1">
        <values>
          <value t="nil">
            <val>1</val>
          </value>
        </values>
      </ddeItem>
      <ddeItem name="@CTA[8-2-6-1-2-1211,J,5,#6]" advise="1">
        <values>
          <value t="nil">
            <val>1</val>
          </value>
        </values>
      </ddeItem>
      <ddeItem name="@CTA[8-2-6-1-2-1211,J,6,#6]" advise="1">
        <values>
          <value>
            <val>0</val>
          </value>
        </values>
      </ddeItem>
      <ddeItem name="@CTA[8-2-6-1-2-1211,J,7,#6]" advise="1">
        <values>
          <value t="nil">
            <val>1</val>
          </value>
        </values>
      </ddeItem>
      <ddeItem name="@CTA[8-2-6-1-2-1211,J,8,#6]" advise="1">
        <values>
          <value t="nil">
            <val>1</val>
          </value>
        </values>
      </ddeItem>
      <ddeItem name="@CTA[8-2-6-1-2-1211,J,9,#6]" advise="1">
        <values>
          <value t="nil">
            <val>1</val>
          </value>
        </values>
      </ddeItem>
      <ddeItem name="@CTA[8-2-6-1-2-1221,J,1,#6]" advise="1">
        <values>
          <value t="nil">
            <val>1</val>
          </value>
        </values>
      </ddeItem>
      <ddeItem name="@CTA[8-2-6-1-2-1221,J,2,#6]" advise="1">
        <values>
          <value t="nil">
            <val>1</val>
          </value>
        </values>
      </ddeItem>
      <ddeItem name="@CTA[8-2-6-1-2-1221,J,3,#6]" advise="1">
        <values>
          <value t="nil">
            <val>1</val>
          </value>
        </values>
      </ddeItem>
      <ddeItem name="@CTA[8-2-6-1-2-1221,J,4,#6]" advise="1">
        <values>
          <value t="nil">
            <val>1</val>
          </value>
        </values>
      </ddeItem>
      <ddeItem name="@CTA[8-2-6-1-2-1221,J,5,#6]" advise="1">
        <values>
          <value t="nil">
            <val>1</val>
          </value>
        </values>
      </ddeItem>
      <ddeItem name="@CTA[8-2-6-1-2-1221,J,6,#6]" advise="1">
        <values>
          <value t="nil">
            <val>1</val>
          </value>
        </values>
      </ddeItem>
      <ddeItem name="@CTA[8-2-6-1-2-1221,J,7,#6]" advise="1">
        <values>
          <value t="nil">
            <val>1</val>
          </value>
        </values>
      </ddeItem>
      <ddeItem name="@CTA[8-2-6-1-2-1221,J,8,#6]" advise="1">
        <values>
          <value t="nil">
            <val>1</val>
          </value>
        </values>
      </ddeItem>
      <ddeItem name="@CTA[8-2-6-1-2-1221,J,9,#6]" advise="1">
        <values>
          <value t="nil">
            <val>1</val>
          </value>
        </values>
      </ddeItem>
      <ddeItem name="@CTA[8-2-6-1-3-1311,J,1,#6]" advise="1">
        <values>
          <value>
            <val>0</val>
          </value>
        </values>
      </ddeItem>
      <ddeItem name="@CTA[8-2-6-1-3-1311,J,2,#6]" advise="1">
        <values>
          <value>
            <val>0</val>
          </value>
        </values>
      </ddeItem>
      <ddeItem name="@CTA[8-2-6-1-3-1311,J,3,#6]" advise="1">
        <values>
          <value>
            <val>0</val>
          </value>
        </values>
      </ddeItem>
      <ddeItem name="@CTA[8-2-6-1-3-1311,J,4,#6]" advise="1">
        <values>
          <value>
            <val>0</val>
          </value>
        </values>
      </ddeItem>
      <ddeItem name="@CTA[8-2-6-1-3-1311,J,5,#6]" advise="1">
        <values>
          <value>
            <val>294368.14</val>
          </value>
        </values>
      </ddeItem>
      <ddeItem name="@CTA[8-2-6-1-3-1311,J,6,#6]" advise="1">
        <values>
          <value>
            <val>0</val>
          </value>
        </values>
      </ddeItem>
      <ddeItem name="@CTA[8-2-6-1-3-1311,J,7,#6]" advise="1">
        <values>
          <value>
            <val>0</val>
          </value>
        </values>
      </ddeItem>
      <ddeItem name="@CTA[8-2-6-1-3-1311,J,8,#6]" advise="1">
        <values>
          <value>
            <val>0</val>
          </value>
        </values>
      </ddeItem>
      <ddeItem name="@CTA[8-2-6-1-3-1311,J,9,#6]" advise="1">
        <values>
          <value>
            <val>0</val>
          </value>
        </values>
      </ddeItem>
      <ddeItem name="@CTA[8-2-6-1-3-1321,J,1,#6]" advise="1">
        <values>
          <value>
            <val>12954.85</val>
          </value>
        </values>
      </ddeItem>
      <ddeItem name="@CTA[8-2-6-1-3-1321,J,2,#6]" advise="1">
        <values>
          <value>
            <val>0</val>
          </value>
        </values>
      </ddeItem>
      <ddeItem name="@CTA[8-2-6-1-3-1321,J,3,#6]" advise="1">
        <values>
          <value>
            <val>8817</val>
          </value>
        </values>
      </ddeItem>
      <ddeItem name="@CTA[8-2-6-1-3-1321,J,4,#6]" advise="1">
        <values>
          <value t="nil">
            <val>1</val>
          </value>
        </values>
      </ddeItem>
      <ddeItem name="@CTA[8-2-6-1-3-1321,J,5,#6]" advise="1">
        <values>
          <value>
            <val>0</val>
          </value>
        </values>
      </ddeItem>
      <ddeItem name="@CTA[8-2-6-1-3-1321,J,6,#6]" advise="1">
        <values>
          <value>
            <val>0</val>
          </value>
        </values>
      </ddeItem>
      <ddeItem name="@CTA[8-2-6-1-3-1321,J,7,#6]" advise="1">
        <values>
          <value>
            <val>9115.5</val>
          </value>
        </values>
      </ddeItem>
      <ddeItem name="@CTA[8-2-6-1-3-1321,J,8,#6]" advise="1">
        <values>
          <value>
            <val>141.62</val>
          </value>
        </values>
      </ddeItem>
      <ddeItem name="@CTA[8-2-6-1-3-1321,J,9,#6]" advise="1">
        <values>
          <value>
            <val>361.56</val>
          </value>
        </values>
      </ddeItem>
      <ddeItem name="@CTA[8-2-6-1-3-1322,J,1,#6]" advise="1">
        <values>
          <value>
            <val>17795.36</val>
          </value>
        </values>
      </ddeItem>
      <ddeItem name="@CTA[8-2-6-1-3-1322,J,2,#6]" advise="1">
        <values>
          <value>
            <val>0</val>
          </value>
        </values>
      </ddeItem>
      <ddeItem name="@CTA[8-2-6-1-3-1322,J,3,#6]" advise="1">
        <values>
          <value>
            <val>5519.95</val>
          </value>
        </values>
      </ddeItem>
      <ddeItem name="@CTA[8-2-6-1-3-1322,J,4,#6]" advise="1">
        <values>
          <value>
            <val>3847.38</val>
          </value>
        </values>
      </ddeItem>
      <ddeItem name="@CTA[8-2-6-1-3-1322,J,5,#6]" advise="1">
        <values>
          <value>
            <val>9292.15</val>
          </value>
        </values>
      </ddeItem>
      <ddeItem name="@CTA[8-2-6-1-3-1322,J,6,#6]" advise="1">
        <values>
          <value>
            <val>1715.62</val>
          </value>
        </values>
      </ddeItem>
      <ddeItem name="@CTA[8-2-6-1-3-1322,J,7,#6]" advise="1">
        <values>
          <value>
            <val>4983.8500000000004</val>
          </value>
        </values>
      </ddeItem>
      <ddeItem name="@CTA[8-2-6-1-3-1322,J,8,#6]" advise="1">
        <values>
          <value>
            <val>3125.61</val>
          </value>
        </values>
      </ddeItem>
      <ddeItem name="@CTA[8-2-6-1-3-1322,J,9,#6]" advise="1">
        <values>
          <value>
            <val>5919.4400000000005</val>
          </value>
        </values>
      </ddeItem>
      <ddeItem name="@CTA[8-2-6-1-3-1323,J,1,#6]" advise="1">
        <values>
          <value>
            <val>233.26</val>
          </value>
        </values>
      </ddeItem>
      <ddeItem name="@CTA[8-2-6-1-3-1323,J,2,#6]" advise="1">
        <values>
          <value>
            <val>0</val>
          </value>
        </values>
      </ddeItem>
      <ddeItem name="@CTA[8-2-6-1-3-1323,J,3,#6]" advise="1">
        <values>
          <value>
            <val>232.84</val>
          </value>
        </values>
      </ddeItem>
      <ddeItem name="@CTA[8-2-6-1-3-1323,J,4,#6]" advise="1">
        <values>
          <value>
            <val>0</val>
          </value>
        </values>
      </ddeItem>
      <ddeItem name="@CTA[8-2-6-1-3-1323,J,5,#6]" advise="1">
        <values>
          <value>
            <val>2567.46</val>
          </value>
        </values>
      </ddeItem>
      <ddeItem name="@CTA[8-2-6-1-3-1323,J,6,#6]" advise="1">
        <values>
          <value>
            <val>0</val>
          </value>
        </values>
      </ddeItem>
      <ddeItem name="@CTA[8-2-6-1-3-1323,J,7,#6]" advise="1">
        <values>
          <value>
            <val>0</val>
          </value>
        </values>
      </ddeItem>
      <ddeItem name="@CTA[8-2-6-1-3-1323,J,8,#6]" advise="1">
        <values>
          <value>
            <val>0</val>
          </value>
        </values>
      </ddeItem>
      <ddeItem name="@CTA[8-2-6-1-3-1323,J,9,#6]" advise="1">
        <values>
          <value>
            <val>0</val>
          </value>
        </values>
      </ddeItem>
      <ddeItem name="@CTA[8-2-6-1-3-1331,J,1,#6]" advise="1">
        <values>
          <value>
            <val>17449.59</val>
          </value>
        </values>
      </ddeItem>
      <ddeItem name="@CTA[8-2-6-1-3-1331,J,2,#6]" advise="1">
        <values>
          <value t="nil">
            <val>1</val>
          </value>
        </values>
      </ddeItem>
      <ddeItem name="@CTA[8-2-6-1-3-1331,J,3,#6]" advise="1">
        <values>
          <value>
            <val>1094.99</val>
          </value>
        </values>
      </ddeItem>
      <ddeItem name="@CTA[8-2-6-1-3-1331,J,4,#6]" advise="1">
        <values>
          <value>
            <val>0</val>
          </value>
        </values>
      </ddeItem>
      <ddeItem name="@CTA[8-2-6-1-3-1331,J,5,#6]" advise="1">
        <values>
          <value>
            <val>0</val>
          </value>
        </values>
      </ddeItem>
      <ddeItem name="@CTA[8-2-6-1-3-1331,J,6,#6]" advise="1">
        <values>
          <value t="nil">
            <val>1</val>
          </value>
        </values>
      </ddeItem>
      <ddeItem name="@CTA[8-2-6-1-3-1331,J,7,#6]" advise="1">
        <values>
          <value>
            <val>316.74</val>
          </value>
        </values>
      </ddeItem>
      <ddeItem name="@CTA[8-2-6-1-3-1331,J,8,#6]" advise="1">
        <values>
          <value t="nil">
            <val>1</val>
          </value>
        </values>
      </ddeItem>
      <ddeItem name="@CTA[8-2-6-1-3-1331,J,9,#6]" advise="1">
        <values>
          <value t="nil">
            <val>1</val>
          </value>
        </values>
      </ddeItem>
      <ddeItem name="@CTA[8-2-6-1-3-1341,J,1,#6]" advise="1">
        <values>
          <value>
            <val>19285.75</val>
          </value>
        </values>
      </ddeItem>
      <ddeItem name="@CTA[8-2-6-1-3-1341,J,2,#6]" advise="1">
        <values>
          <value>
            <val>0</val>
          </value>
        </values>
      </ddeItem>
      <ddeItem name="@CTA[8-2-6-1-3-1341,J,3,#6]" advise="1">
        <values>
          <value>
            <val>0</val>
          </value>
        </values>
      </ddeItem>
      <ddeItem name="@CTA[8-2-6-1-3-1341,J,4,#6]" advise="1">
        <values>
          <value>
            <val>0</val>
          </value>
        </values>
      </ddeItem>
      <ddeItem name="@CTA[8-2-6-1-3-1341,J,5,#6]" advise="1">
        <values>
          <value>
            <val>0</val>
          </value>
        </values>
      </ddeItem>
      <ddeItem name="@CTA[8-2-6-1-3-1341,J,6,#6]" advise="1">
        <values>
          <value>
            <val>0</val>
          </value>
        </values>
      </ddeItem>
      <ddeItem name="@CTA[8-2-6-1-3-1341,J,7,#6]" advise="1">
        <values>
          <value>
            <val>0</val>
          </value>
        </values>
      </ddeItem>
      <ddeItem name="@CTA[8-2-6-1-3-1341,J,8,#6]" advise="1">
        <values>
          <value>
            <val>0</val>
          </value>
        </values>
      </ddeItem>
      <ddeItem name="@CTA[8-2-6-1-3-1341,J,9,#6]" advise="1">
        <values>
          <value>
            <val>0</val>
          </value>
        </values>
      </ddeItem>
      <ddeItem name="@CTA[8-2-6-1-4-1411,J,1,#6]" advise="1">
        <values>
          <value>
            <val>117965.51999999999</val>
          </value>
        </values>
      </ddeItem>
      <ddeItem name="@CTA[8-2-6-1-4-1411,J,2,#6]" advise="1">
        <values>
          <value>
            <val>14452.44</val>
          </value>
        </values>
      </ddeItem>
      <ddeItem name="@CTA[8-2-6-1-4-1411,J,3,#6]" advise="1">
        <values>
          <value>
            <val>38623.93</val>
          </value>
        </values>
      </ddeItem>
      <ddeItem name="@CTA[8-2-6-1-4-1411,J,4,#6]" advise="1">
        <values>
          <value>
            <val>23961.38</val>
          </value>
        </values>
      </ddeItem>
      <ddeItem name="@CTA[8-2-6-1-4-1411,J,5,#6]" advise="1">
        <values>
          <value>
            <val>32981.769999999997</val>
          </value>
        </values>
      </ddeItem>
      <ddeItem name="@CTA[8-2-6-1-4-1411,J,6,#6]" advise="1">
        <values>
          <value>
            <val>8702.130000000001</val>
          </value>
        </values>
      </ddeItem>
      <ddeItem name="@CTA[8-2-6-1-4-1411,J,7,#6]" advise="1">
        <values>
          <value>
            <val>29820.93</val>
          </value>
        </values>
      </ddeItem>
      <ddeItem name="@CTA[8-2-6-1-4-1411,J,8,#6]" advise="1">
        <values>
          <value>
            <val>8223.2199999999993</val>
          </value>
        </values>
      </ddeItem>
      <ddeItem name="@CTA[8-2-6-1-4-1411,J,9,#6]" advise="1">
        <values>
          <value>
            <val>23121.519999999997</val>
          </value>
        </values>
      </ddeItem>
      <ddeItem name="@CTA[8-2-6-1-4-1421,J,1,#6]" advise="1">
        <values>
          <value>
            <val>35486.21</val>
          </value>
        </values>
      </ddeItem>
      <ddeItem name="@CTA[8-2-6-1-4-1421,J,2,#6]" advise="1">
        <values>
          <value>
            <val>6369.79</val>
          </value>
        </values>
      </ddeItem>
      <ddeItem name="@CTA[8-2-6-1-4-1421,J,3,#6]" advise="1">
        <values>
          <value>
            <val>12426.06</val>
          </value>
        </values>
      </ddeItem>
      <ddeItem name="@CTA[8-2-6-1-4-1421,J,4,#6]" advise="1">
        <values>
          <value>
            <val>8511.6299999999992</val>
          </value>
        </values>
      </ddeItem>
      <ddeItem name="@CTA[8-2-6-1-4-1421,J,5,#6]" advise="1">
        <values>
          <value>
            <val>11157.94</val>
          </value>
        </values>
      </ddeItem>
      <ddeItem name="@CTA[8-2-6-1-4-1421,J,6,#6]" advise="1">
        <values>
          <value>
            <val>3418.11</val>
          </value>
        </values>
      </ddeItem>
      <ddeItem name="@CTA[8-2-6-1-4-1421,J,7,#6]" advise="1">
        <values>
          <value>
            <val>10045.67</val>
          </value>
        </values>
      </ddeItem>
      <ddeItem name="@CTA[8-2-6-1-4-1421,J,8,#6]" advise="1">
        <values>
          <value>
            <val>3183.7</val>
          </value>
        </values>
      </ddeItem>
      <ddeItem name="@CTA[8-2-6-1-4-1421,J,9,#6]" advise="1">
        <values>
          <value>
            <val>8441.74</val>
          </value>
        </values>
      </ddeItem>
      <ddeItem name="@CTA[8-2-6-1-4-1431,J,1,#6]" advise="1">
        <values>
          <value>
            <val>36550.74</val>
          </value>
        </values>
      </ddeItem>
      <ddeItem name="@CTA[8-2-6-1-4-1431,J,2,#6]" advise="1">
        <values>
          <value>
            <val>6560.89</val>
          </value>
        </values>
      </ddeItem>
      <ddeItem name="@CTA[8-2-6-1-4-1431,J,3,#6]" advise="1">
        <values>
          <value>
            <val>12422.28</val>
          </value>
        </values>
      </ddeItem>
      <ddeItem name="@CTA[8-2-6-1-4-1431,J,4,#6]" advise="1">
        <values>
          <value>
            <val>8766.99</val>
          </value>
        </values>
      </ddeItem>
      <ddeItem name="@CTA[8-2-6-1-4-1431,J,5,#6]" advise="1">
        <values>
          <value>
            <val>11492.7</val>
          </value>
        </values>
      </ddeItem>
      <ddeItem name="@CTA[8-2-6-1-4-1431,J,6,#6]" advise="1">
        <values>
          <value>
            <val>3520.65</val>
          </value>
        </values>
      </ddeItem>
      <ddeItem name="@CTA[8-2-6-1-4-1431,J,7,#6]" advise="1">
        <values>
          <value>
            <val>10347.02</val>
          </value>
        </values>
      </ddeItem>
      <ddeItem name="@CTA[8-2-6-1-4-1431,J,8,#6]" advise="1">
        <values>
          <value>
            <val>3279.21</val>
          </value>
        </values>
      </ddeItem>
      <ddeItem name="@CTA[8-2-6-1-4-1431,J,9,#6]" advise="1">
        <values>
          <value>
            <val>8695</val>
          </value>
        </values>
      </ddeItem>
      <ddeItem name="@CTA[8-2-6-1-4-1441,J,1,#6]" advise="1">
        <values>
          <value>
            <val>4791.33</val>
          </value>
        </values>
      </ddeItem>
      <ddeItem name="@CTA[8-2-6-1-4-1441,J,2,#6]" advise="1">
        <values>
          <value>
            <val>779.99</val>
          </value>
        </values>
      </ddeItem>
      <ddeItem name="@CTA[8-2-6-1-4-1441,J,3,#6]" advise="1">
        <values>
          <value>
            <val>1671.4</val>
          </value>
        </values>
      </ddeItem>
      <ddeItem name="@CTA[8-2-6-1-4-1441,J,4,#6]" advise="1">
        <values>
          <value>
            <val>779.99</val>
          </value>
        </values>
      </ddeItem>
      <ddeItem name="@CTA[8-2-6-1-4-1441,J,5,#6]" advise="1">
        <values>
          <value>
            <val>1337.1100000000001</val>
          </value>
        </values>
      </ddeItem>
      <ddeItem name="@CTA[8-2-6-1-4-1441,J,6,#6]" advise="1">
        <values>
          <value>
            <val>222.85</val>
          </value>
        </values>
      </ddeItem>
      <ddeItem name="@CTA[8-2-6-1-4-1441,J,7,#6]" advise="1">
        <values>
          <value>
            <val>1337.1100000000001</val>
          </value>
        </values>
      </ddeItem>
      <ddeItem name="@CTA[8-2-6-1-4-1441,J,8,#6]" advise="1">
        <values>
          <value>
            <val>557.14</val>
          </value>
        </values>
      </ddeItem>
      <ddeItem name="@CTA[8-2-6-1-4-1441,J,9,#6]" advise="1">
        <values>
          <value>
            <val>222.85</val>
          </value>
        </values>
      </ddeItem>
      <ddeItem name="@CTA[8-2-6-1-5-1521,J,1,#6]" advise="1">
        <values>
          <value>
            <val>0</val>
          </value>
        </values>
      </ddeItem>
      <ddeItem name="@CTA[8-2-6-1-5-1521,J,2,#6]" advise="1">
        <values>
          <value>
            <val>0</val>
          </value>
        </values>
      </ddeItem>
      <ddeItem name="@CTA[8-2-6-1-5-1521,J,3,#6]" advise="1">
        <values>
          <value>
            <val>0</val>
          </value>
        </values>
      </ddeItem>
      <ddeItem name="@CTA[8-2-6-1-5-1521,J,4,#6]" advise="1">
        <values>
          <value>
            <val>0</val>
          </value>
        </values>
      </ddeItem>
      <ddeItem name="@CTA[8-2-6-1-5-1521,J,5,#6]" advise="1">
        <values>
          <value>
            <val>0</val>
          </value>
        </values>
      </ddeItem>
      <ddeItem name="@CTA[8-2-6-1-5-1521,J,6,#6]" advise="1">
        <values>
          <value t="nil">
            <val>1</val>
          </value>
        </values>
      </ddeItem>
      <ddeItem name="@CTA[8-2-6-1-5-1521,J,7,#6]" advise="1">
        <values>
          <value>
            <val>0</val>
          </value>
        </values>
      </ddeItem>
      <ddeItem name="@CTA[8-2-6-1-5-1521,J,8,#6]" advise="1">
        <values>
          <value>
            <val>0</val>
          </value>
        </values>
      </ddeItem>
      <ddeItem name="@CTA[8-2-6-1-5-1521,J,9,#6]" advise="1">
        <values>
          <value>
            <val>0</val>
          </value>
        </values>
      </ddeItem>
      <ddeItem name="@CTA[8-2-6-1-5-1522,J,1,#6]" advise="1">
        <values>
          <value t="nil">
            <val>1</val>
          </value>
        </values>
      </ddeItem>
      <ddeItem name="@CTA[8-2-6-1-5-1522,J,2,#6]" advise="1">
        <values>
          <value>
            <val>0</val>
          </value>
        </values>
      </ddeItem>
      <ddeItem name="@CTA[8-2-6-1-5-1522,J,3,#6]" advise="1">
        <values>
          <value t="nil">
            <val>1</val>
          </value>
        </values>
      </ddeItem>
      <ddeItem name="@CTA[8-2-6-1-5-1522,J,4,#6]" advise="1">
        <values>
          <value t="nil">
            <val>1</val>
          </value>
        </values>
      </ddeItem>
      <ddeItem name="@CTA[8-2-6-1-5-1522,J,5,#6]" advise="1">
        <values>
          <value t="nil">
            <val>1</val>
          </value>
        </values>
      </ddeItem>
      <ddeItem name="@CTA[8-2-6-1-5-1522,J,6,#6]" advise="1">
        <values>
          <value t="nil">
            <val>1</val>
          </value>
        </values>
      </ddeItem>
      <ddeItem name="@CTA[8-2-6-1-5-1522,J,7,#6]" advise="1">
        <values>
          <value t="nil">
            <val>1</val>
          </value>
        </values>
      </ddeItem>
      <ddeItem name="@CTA[8-2-6-1-5-1522,J,8,#6]" advise="1">
        <values>
          <value t="nil">
            <val>1</val>
          </value>
        </values>
      </ddeItem>
      <ddeItem name="@CTA[8-2-6-1-5-1522,J,9,#6]" advise="1">
        <values>
          <value t="nil">
            <val>1</val>
          </value>
        </values>
      </ddeItem>
      <ddeItem name="@CTA[8-2-6-1-5-1541,J,1,#6]" advise="1">
        <values>
          <value>
            <val>170079.94</val>
          </value>
        </values>
      </ddeItem>
      <ddeItem name="@CTA[8-2-6-1-5-1541,J,2,#6]" advise="1">
        <values>
          <value>
            <val>31926.840000000004</val>
          </value>
        </values>
      </ddeItem>
      <ddeItem name="@CTA[8-2-6-1-5-1541,J,3,#6]" advise="1">
        <values>
          <value>
            <val>56872.12999999999</val>
          </value>
        </values>
      </ddeItem>
      <ddeItem name="@CTA[8-2-6-1-5-1541,J,4,#6]" advise="1">
        <values>
          <value>
            <val>42053.97</val>
          </value>
        </values>
      </ddeItem>
      <ddeItem name="@CTA[8-2-6-1-5-1541,J,5,#6]" advise="1">
        <values>
          <value>
            <val>55954.42</val>
          </value>
        </values>
      </ddeItem>
      <ddeItem name="@CTA[8-2-6-1-5-1541,J,6,#6]" advise="1">
        <values>
          <value>
            <val>16624.23</val>
          </value>
        </values>
      </ddeItem>
      <ddeItem name="@CTA[8-2-6-1-5-1541,J,7,#6]" advise="1">
        <values>
          <value>
            <val>51148.490000000005</val>
          </value>
        </values>
      </ddeItem>
      <ddeItem name="@CTA[8-2-6-1-5-1541,J,8,#6]" advise="1">
        <values>
          <value>
            <val>15101.369999999999</val>
          </value>
        </values>
      </ddeItem>
      <ddeItem name="@CTA[8-2-6-1-5-1541,J,9,#6]" advise="1">
        <values>
          <value>
            <val>34363.199999999997</val>
          </value>
        </values>
      </ddeItem>
      <ddeItem name="@CTA[8-2-6-1-5-1542,J,1,#6]" advise="1">
        <values>
          <value>
            <val>67236.41</val>
          </value>
        </values>
      </ddeItem>
      <ddeItem name="@CTA[8-2-6-1-5-1542,J,2,#6]" advise="1">
        <values>
          <value>
            <val>2059.12</val>
          </value>
        </values>
      </ddeItem>
      <ddeItem name="@CTA[8-2-6-1-5-1542,J,3,#6]" advise="1">
        <values>
          <value>
            <val>12219.56</val>
          </value>
        </values>
      </ddeItem>
      <ddeItem name="@CTA[8-2-6-1-5-1542,J,4,#6]" advise="1">
        <values>
          <value>
            <val>16420.43</val>
          </value>
        </values>
      </ddeItem>
      <ddeItem name="@CTA[8-2-6-1-5-1542,J,5,#6]" advise="1">
        <values>
          <value>
            <val>24406.949999999997</val>
          </value>
        </values>
      </ddeItem>
      <ddeItem name="@CTA[8-2-6-1-5-1542,J,6,#6]" advise="1">
        <values>
          <value>
            <val>4117.99</val>
          </value>
        </values>
      </ddeItem>
      <ddeItem name="@CTA[8-2-6-1-5-1542,J,7,#6]" advise="1">
        <values>
          <value>
            <val>24374.03</val>
          </value>
        </values>
      </ddeItem>
      <ddeItem name="@CTA[8-2-6-1-5-1542,J,8,#6]" advise="1">
        <values>
          <value>
            <val>6124.31</val>
          </value>
        </values>
      </ddeItem>
      <ddeItem name="@CTA[8-2-6-1-5-1542,J,9,#6]" advise="1">
        <values>
          <value>
            <val>0</val>
          </value>
        </values>
      </ddeItem>
      <ddeItem name="@CTA[8-2-6-1-5-1543,J,1,#6]" advise="1">
        <values>
          <value>
            <val>0</val>
          </value>
        </values>
      </ddeItem>
      <ddeItem name="@CTA[8-2-6-1-5-1543,J,2,#6]" advise="1">
        <values>
          <value>
            <val>0</val>
          </value>
        </values>
      </ddeItem>
      <ddeItem name="@CTA[8-2-6-1-5-1543,J,3,#6]" advise="1">
        <values>
          <value>
            <val>0</val>
          </value>
        </values>
      </ddeItem>
      <ddeItem name="@CTA[8-2-6-1-5-1543,J,4,#6]" advise="1">
        <values>
          <value t="nil">
            <val>1</val>
          </value>
        </values>
      </ddeItem>
      <ddeItem name="@CTA[8-2-6-1-5-1543,J,5,#6]" advise="1">
        <values>
          <value>
            <val>0</val>
          </value>
        </values>
      </ddeItem>
      <ddeItem name="@CTA[8-2-6-1-5-1543,J,6,#6]" advise="1">
        <values>
          <value t="nil">
            <val>1</val>
          </value>
        </values>
      </ddeItem>
      <ddeItem name="@CTA[8-2-6-1-5-1543,J,7,#6]" advise="1">
        <values>
          <value t="nil">
            <val>1</val>
          </value>
        </values>
      </ddeItem>
      <ddeItem name="@CTA[8-2-6-1-5-1543,J,8,#6]" advise="1">
        <values>
          <value t="nil">
            <val>1</val>
          </value>
        </values>
      </ddeItem>
      <ddeItem name="@CTA[8-2-6-1-5-1543,J,9,#6]" advise="1">
        <values>
          <value t="nil">
            <val>1</val>
          </value>
        </values>
      </ddeItem>
      <ddeItem name="@CTA[8-2-6-1-5-1544,J,1,#6]" advise="1">
        <values>
          <value>
            <val>9100</val>
          </value>
        </values>
      </ddeItem>
      <ddeItem name="@CTA[8-2-6-1-5-1544,J,2,#6]" advise="1">
        <values>
          <value t="nil">
            <val>1</val>
          </value>
        </values>
      </ddeItem>
      <ddeItem name="@CTA[8-2-6-1-5-1544,J,3,#6]" advise="1">
        <values>
          <value t="nil">
            <val>1</val>
          </value>
        </values>
      </ddeItem>
      <ddeItem name="@CTA[8-2-6-1-5-1544,J,4,#6]" advise="1">
        <values>
          <value>
            <val>0</val>
          </value>
        </values>
      </ddeItem>
      <ddeItem name="@CTA[8-2-6-1-5-1544,J,5,#6]" advise="1">
        <values>
          <value>
            <val>2800</val>
          </value>
        </values>
      </ddeItem>
      <ddeItem name="@CTA[8-2-6-1-5-1544,J,6,#6]" advise="1">
        <values>
          <value t="nil">
            <val>1</val>
          </value>
        </values>
      </ddeItem>
      <ddeItem name="@CTA[8-2-6-1-5-1544,J,7,#6]" advise="1">
        <values>
          <value>
            <val>700</val>
          </value>
        </values>
      </ddeItem>
      <ddeItem name="@CTA[8-2-6-1-5-1544,J,8,#6]" advise="1">
        <values>
          <value t="nil">
            <val>1</val>
          </value>
        </values>
      </ddeItem>
      <ddeItem name="@CTA[8-2-6-1-5-1544,J,9,#6]" advise="1">
        <values>
          <value t="nil">
            <val>1</val>
          </value>
        </values>
      </ddeItem>
      <ddeItem name="@CTA[8-2-6-2-1-2111,J,1,#6]" advise="1">
        <values>
          <value>
            <val>1056.6400000000001</val>
          </value>
        </values>
      </ddeItem>
      <ddeItem name="@CTA[8-2-6-2-1-2111,J,2,#6]" advise="1">
        <values>
          <value>
            <val>2211.7199999999998</val>
          </value>
        </values>
      </ddeItem>
      <ddeItem name="@CTA[8-2-6-2-1-2111,J,3,#6]" advise="1">
        <values>
          <value>
            <val>868.88</val>
          </value>
        </values>
      </ddeItem>
      <ddeItem name="@CTA[8-2-6-2-1-2111,J,4,#6]" advise="1">
        <values>
          <value>
            <val>7742.59</val>
          </value>
        </values>
      </ddeItem>
      <ddeItem name="@CTA[8-2-6-2-1-2111,J,5,#6]" advise="1">
        <values>
          <value>
            <val>1263.6500000000001</val>
          </value>
        </values>
      </ddeItem>
      <ddeItem name="@CTA[8-2-6-2-1-2111,J,6,#6]" advise="1">
        <values>
          <value>
            <val>432.3</val>
          </value>
        </values>
      </ddeItem>
      <ddeItem name="@CTA[8-2-6-2-1-2111,J,7,#6]" advise="1">
        <values>
          <value>
            <val>267.67</val>
          </value>
        </values>
      </ddeItem>
      <ddeItem name="@CTA[8-2-6-2-1-2111,J,8,#6]" advise="1">
        <values>
          <value>
            <val>166.11999999999998</val>
          </value>
        </values>
      </ddeItem>
      <ddeItem name="@CTA[8-2-6-2-1-2111,J,9,#6]" advise="1">
        <values>
          <value>
            <val>1997.9500000000003</val>
          </value>
        </values>
      </ddeItem>
      <ddeItem name="@CTA[8-2-6-2-1-2121,J,1,#6]" advise="1">
        <values>
          <value>
            <val>123.41999999999999</val>
          </value>
        </values>
      </ddeItem>
      <ddeItem name="@CTA[8-2-6-2-1-2121,J,2,#6]" advise="1">
        <values>
          <value>
            <val>380.53</val>
          </value>
        </values>
      </ddeItem>
      <ddeItem name="@CTA[8-2-6-2-1-2121,J,3,#6]" advise="1">
        <values>
          <value>
            <val>498.97</val>
          </value>
        </values>
      </ddeItem>
      <ddeItem name="@CTA[8-2-6-2-1-2121,J,4,#6]" advise="1">
        <values>
          <value>
            <val>1934.66</val>
          </value>
        </values>
      </ddeItem>
      <ddeItem name="@CTA[8-2-6-2-1-2121,J,5,#6]" advise="1">
        <values>
          <value>
            <val>941.48</val>
          </value>
        </values>
      </ddeItem>
      <ddeItem name="@CTA[8-2-6-2-1-2121,J,6,#6]" advise="1">
        <values>
          <value>
            <val>0</val>
          </value>
        </values>
      </ddeItem>
      <ddeItem name="@CTA[8-2-6-2-1-2121,J,7,#6]" advise="1">
        <values>
          <value>
            <val>42.8</val>
          </value>
        </values>
      </ddeItem>
      <ddeItem name="@CTA[8-2-6-2-1-2121,J,8,#6]" advise="1">
        <values>
          <value>
            <val>85.59</val>
          </value>
        </values>
      </ddeItem>
      <ddeItem name="@CTA[8-2-6-2-1-2121,J,9,#6]" advise="1">
        <values>
          <value>
            <val>491.46</val>
          </value>
        </values>
      </ddeItem>
      <ddeItem name="@CTA[8-2-6-2-1-2131,J,1,#6]" advise="1">
        <values>
          <value t="nil">
            <val>1</val>
          </value>
        </values>
      </ddeItem>
      <ddeItem name="@CTA[8-2-6-2-1-2131,J,2,#6]" advise="1">
        <values>
          <value t="nil">
            <val>1</val>
          </value>
        </values>
      </ddeItem>
      <ddeItem name="@CTA[8-2-6-2-1-2131,J,3,#6]" advise="1">
        <values>
          <value t="nil">
            <val>1</val>
          </value>
        </values>
      </ddeItem>
      <ddeItem name="@CTA[8-2-6-2-1-2131,J,4,#6]" advise="1">
        <values>
          <value t="nil">
            <val>1</val>
          </value>
        </values>
      </ddeItem>
      <ddeItem name="@CTA[8-2-6-2-1-2131,J,5,#6]" advise="1">
        <values>
          <value t="nil">
            <val>1</val>
          </value>
        </values>
      </ddeItem>
      <ddeItem name="@CTA[8-2-6-2-1-2131,J,6,#6]" advise="1">
        <values>
          <value t="nil">
            <val>1</val>
          </value>
        </values>
      </ddeItem>
      <ddeItem name="@CTA[8-2-6-2-1-2131,J,7,#6]" advise="1">
        <values>
          <value t="nil">
            <val>1</val>
          </value>
        </values>
      </ddeItem>
      <ddeItem name="@CTA[8-2-6-2-1-2131,J,8,#6]" advise="1">
        <values>
          <value t="nil">
            <val>1</val>
          </value>
        </values>
      </ddeItem>
      <ddeItem name="@CTA[8-2-6-2-1-2131,J,9,#6]" advise="1">
        <values>
          <value t="nil">
            <val>1</val>
          </value>
        </values>
      </ddeItem>
      <ddeItem name="@CTA[8-2-6-2-1-2141,J,1,#6]" advise="1">
        <values>
          <value>
            <val>0</val>
          </value>
        </values>
      </ddeItem>
      <ddeItem name="@CTA[8-2-6-2-1-2141,J,2,#6]" advise="1">
        <values>
          <value>
            <val>0</val>
          </value>
        </values>
      </ddeItem>
      <ddeItem name="@CTA[8-2-6-2-1-2141,J,3,#6]" advise="1">
        <values>
          <value>
            <val>0</val>
          </value>
        </values>
      </ddeItem>
      <ddeItem name="@CTA[8-2-6-2-1-2141,J,4,#6]" advise="1">
        <values>
          <value>
            <val>0</val>
          </value>
        </values>
      </ddeItem>
      <ddeItem name="@CTA[8-2-6-2-1-2141,J,5,#6]" advise="1">
        <values>
          <value>
            <val>0</val>
          </value>
        </values>
      </ddeItem>
      <ddeItem name="@CTA[8-2-6-2-1-2141,J,6,#6]" advise="1">
        <values>
          <value>
            <val>14629.960000000001</val>
          </value>
        </values>
      </ddeItem>
      <ddeItem name="@CTA[8-2-6-2-1-2141,J,7,#6]" advise="1">
        <values>
          <value>
            <val>0</val>
          </value>
        </values>
      </ddeItem>
      <ddeItem name="@CTA[8-2-6-2-1-2141,J,8,#6]" advise="1">
        <values>
          <value>
            <val>0</val>
          </value>
        </values>
      </ddeItem>
      <ddeItem name="@CTA[8-2-6-2-1-2141,J,9,#6]" advise="1">
        <values>
          <value>
            <val>0</val>
          </value>
        </values>
      </ddeItem>
      <ddeItem name="@CTA[8-2-6-2-1-2151,J,1,#6]" advise="1">
        <values>
          <value>
            <val>0</val>
          </value>
        </values>
      </ddeItem>
      <ddeItem name="@CTA[8-2-6-2-1-2151,J,2,#6]" advise="1">
        <values>
          <value>
            <val>0</val>
          </value>
        </values>
      </ddeItem>
      <ddeItem name="@CTA[8-2-6-2-1-2151,J,3,#6]" advise="1">
        <values>
          <value>
            <val>0</val>
          </value>
        </values>
      </ddeItem>
      <ddeItem name="@CTA[8-2-6-2-1-2151,J,4,#6]" advise="1">
        <values>
          <value t="nil">
            <val>1</val>
          </value>
        </values>
      </ddeItem>
      <ddeItem name="@CTA[8-2-6-2-1-2151,J,5,#6]" advise="1">
        <values>
          <value>
            <val>0</val>
          </value>
        </values>
      </ddeItem>
      <ddeItem name="@CTA[8-2-6-2-1-2151,J,6,#6]" advise="1">
        <values>
          <value t="nil">
            <val>1</val>
          </value>
        </values>
      </ddeItem>
      <ddeItem name="@CTA[8-2-6-2-1-2151,J,7,#6]" advise="1">
        <values>
          <value t="nil">
            <val>1</val>
          </value>
        </values>
      </ddeItem>
      <ddeItem name="@CTA[8-2-6-2-1-2151,J,8,#6]" advise="1">
        <values>
          <value>
            <val>0</val>
          </value>
        </values>
      </ddeItem>
      <ddeItem name="@CTA[8-2-6-2-1-2151,J,9,#6]" advise="1">
        <values>
          <value t="nil">
            <val>1</val>
          </value>
        </values>
      </ddeItem>
      <ddeItem name="@CTA[8-2-6-2-1-2161,J,1,#6]" advise="1">
        <values>
          <value>
            <val>362.42000000000007</val>
          </value>
        </values>
      </ddeItem>
      <ddeItem name="@CTA[8-2-6-2-1-2161,J,2,#6]" advise="1">
        <values>
          <value>
            <val>9.0500000000000007</val>
          </value>
        </values>
      </ddeItem>
      <ddeItem name="@CTA[8-2-6-2-1-2161,J,3,#6]" advise="1">
        <values>
          <value>
            <val>3971.29</val>
          </value>
        </values>
      </ddeItem>
      <ddeItem name="@CTA[8-2-6-2-1-2161,J,4,#6]" advise="1">
        <values>
          <value>
            <val>19.11</val>
          </value>
        </values>
      </ddeItem>
      <ddeItem name="@CTA[8-2-6-2-1-2161,J,5,#6]" advise="1">
        <values>
          <value>
            <val>0</val>
          </value>
        </values>
      </ddeItem>
      <ddeItem name="@CTA[8-2-6-2-1-2161,J,6,#6]" advise="1">
        <values>
          <value>
            <val>0</val>
          </value>
        </values>
      </ddeItem>
      <ddeItem name="@CTA[8-2-6-2-1-2161,J,7,#6]" advise="1">
        <values>
          <value>
            <val>1199.49</val>
          </value>
        </values>
      </ddeItem>
      <ddeItem name="@CTA[8-2-6-2-1-2161,J,8,#6]" advise="1">
        <values>
          <value>
            <val>0</val>
          </value>
        </values>
      </ddeItem>
      <ddeItem name="@CTA[8-2-6-2-1-2161,J,9,#6]" advise="1">
        <values>
          <value t="nil">
            <val>1</val>
          </value>
        </values>
      </ddeItem>
      <ddeItem name="@CTA[8-2-6-2-1-2171,J,1,#6]" advise="1">
        <values>
          <value>
            <val>0</val>
          </value>
        </values>
      </ddeItem>
      <ddeItem name="@CTA[8-2-6-2-1-2171,J,2,#6]" advise="1">
        <values>
          <value>
            <val>0</val>
          </value>
        </values>
      </ddeItem>
      <ddeItem name="@CTA[8-2-6-2-1-2171,J,3,#6]" advise="1">
        <values>
          <value>
            <val>0</val>
          </value>
        </values>
      </ddeItem>
      <ddeItem name="@CTA[8-2-6-2-1-2171,J,4,#6]" advise="1">
        <values>
          <value>
            <val>4450</val>
          </value>
        </values>
      </ddeItem>
      <ddeItem name="@CTA[8-2-6-2-1-2171,J,5,#6]" advise="1">
        <values>
          <value>
            <val>0</val>
          </value>
        </values>
      </ddeItem>
      <ddeItem name="@CTA[8-2-6-2-1-2171,J,6,#6]" advise="1">
        <values>
          <value t="nil">
            <val>1</val>
          </value>
        </values>
      </ddeItem>
      <ddeItem name="@CTA[8-2-6-2-1-2171,J,7,#6]" advise="1">
        <values>
          <value>
            <val>0</val>
          </value>
        </values>
      </ddeItem>
      <ddeItem name="@CTA[8-2-6-2-1-2171,J,8,#6]" advise="1">
        <values>
          <value>
            <val>0</val>
          </value>
        </values>
      </ddeItem>
      <ddeItem name="@CTA[8-2-6-2-1-2171,J,9,#6]" advise="1">
        <values>
          <value t="nil">
            <val>1</val>
          </value>
        </values>
      </ddeItem>
      <ddeItem name="@CTA[8-2-6-2-2-2211,J,1,#6]" advise="1">
        <values>
          <value>
            <val>3677</val>
          </value>
        </values>
      </ddeItem>
      <ddeItem name="@CTA[8-2-6-2-2-2211,J,2,#6]" advise="1">
        <values>
          <value>
            <val>0</val>
          </value>
        </values>
      </ddeItem>
      <ddeItem name="@CTA[8-2-6-2-2-2211,J,3,#6]" advise="1">
        <values>
          <value>
            <val>761</val>
          </value>
        </values>
      </ddeItem>
      <ddeItem name="@CTA[8-2-6-2-2-2211,J,4,#6]" advise="1">
        <values>
          <value>
            <val>0</val>
          </value>
        </values>
      </ddeItem>
      <ddeItem name="@CTA[8-2-6-2-2-2211,J,5,#6]" advise="1">
        <values>
          <value>
            <val>0</val>
          </value>
        </values>
      </ddeItem>
      <ddeItem name="@CTA[8-2-6-2-2-2211,J,6,#6]" advise="1">
        <values>
          <value>
            <val>0</val>
          </value>
        </values>
      </ddeItem>
      <ddeItem name="@CTA[8-2-6-2-2-2211,J,7,#6]" advise="1">
        <values>
          <value>
            <val>0</val>
          </value>
        </values>
      </ddeItem>
      <ddeItem name="@CTA[8-2-6-2-2-2211,J,8,#6]" advise="1">
        <values>
          <value>
            <val>390</val>
          </value>
        </values>
      </ddeItem>
      <ddeItem name="@CTA[8-2-6-2-2-2211,J,9,#6]" advise="1">
        <values>
          <value>
            <val>0</val>
          </value>
        </values>
      </ddeItem>
      <ddeItem name="@CTA[8-2-6-2-2-2221,J,3,#6]" advise="1">
        <values>
          <value>
            <val>1298.73</val>
          </value>
        </values>
      </ddeItem>
      <ddeItem name="@CTA[8-2-6-2-2-2221,J,7,#6]" advise="1">
        <values>
          <value>
            <val>545.68000000000006</val>
          </value>
        </values>
      </ddeItem>
      <ddeItem name="@CTA[8-2-6-2-2-2231,J,1,#6]" advise="1">
        <values>
          <value>
            <val>386.19</val>
          </value>
        </values>
      </ddeItem>
      <ddeItem name="@CTA[8-2-6-2-2-2231,J,2,#6]" advise="1">
        <values>
          <value>
            <val>6240.5700000000006</val>
          </value>
        </values>
      </ddeItem>
      <ddeItem name="@CTA[8-2-6-2-2-2231,J,3,#6]" advise="1">
        <values>
          <value>
            <val>386.19</val>
          </value>
        </values>
      </ddeItem>
      <ddeItem name="@CTA[8-2-6-2-2-2231,J,4,#6]" advise="1">
        <values>
          <value>
            <val>445.65999999999997</val>
          </value>
        </values>
      </ddeItem>
      <ddeItem name="@CTA[8-2-6-2-2-2231,J,5,#6]" advise="1">
        <values>
          <value>
            <val>386.16999999999996</val>
          </value>
        </values>
      </ddeItem>
      <ddeItem name="@CTA[8-2-6-2-2-2231,J,6,#6]" advise="1">
        <values>
          <value>
            <val>386.15999999999997</val>
          </value>
        </values>
      </ddeItem>
      <ddeItem name="@CTA[8-2-6-2-2-2231,J,7,#6]" advise="1">
        <values>
          <value>
            <val>386.16999999999996</val>
          </value>
        </values>
      </ddeItem>
      <ddeItem name="@CTA[8-2-6-2-2-2231,J,8,#6]" advise="1">
        <values>
          <value>
            <val>386.16999999999996</val>
          </value>
        </values>
      </ddeItem>
      <ddeItem name="@CTA[8-2-6-2-2-2231,J,9,#6]" advise="1">
        <values>
          <value>
            <val>386.20000000000005</val>
          </value>
        </values>
      </ddeItem>
      <ddeItem name="@CTA[8-2-6-2-4-2411,J,1,#6]" advise="1">
        <values>
          <value>
            <val>600</val>
          </value>
        </values>
      </ddeItem>
      <ddeItem name="@CTA[8-2-6-2-4-2411,J,2,#6]" advise="1">
        <values>
          <value>
            <val>0</val>
          </value>
        </values>
      </ddeItem>
      <ddeItem name="@CTA[8-2-6-2-4-2411,J,3,#6]" advise="1">
        <values>
          <value>
            <val>0</val>
          </value>
        </values>
      </ddeItem>
      <ddeItem name="@CTA[8-2-6-2-4-2411,J,4,#6]" advise="1">
        <values>
          <value>
            <val>0</val>
          </value>
        </values>
      </ddeItem>
      <ddeItem name="@CTA[8-2-6-2-4-2411,J,5,#6]" advise="1">
        <values>
          <value t="nil">
            <val>1</val>
          </value>
        </values>
      </ddeItem>
      <ddeItem name="@CTA[8-2-6-2-4-2411,J,6,#6]" advise="1">
        <values>
          <value t="nil">
            <val>1</val>
          </value>
        </values>
      </ddeItem>
      <ddeItem name="@CTA[8-2-6-2-4-2411,J,7,#6]" advise="1">
        <values>
          <value>
            <val>0</val>
          </value>
        </values>
      </ddeItem>
      <ddeItem name="@CTA[8-2-6-2-4-2411,J,8,#6]" advise="1">
        <values>
          <value>
            <val>0</val>
          </value>
        </values>
      </ddeItem>
      <ddeItem name="@CTA[8-2-6-2-4-2411,J,9,#6]" advise="1">
        <values>
          <value t="nil">
            <val>1</val>
          </value>
        </values>
      </ddeItem>
      <ddeItem name="@CTA[8-2-6-2-4-2461,J,1,#6]" advise="1">
        <values>
          <value>
            <val>1630</val>
          </value>
        </values>
      </ddeItem>
      <ddeItem name="@CTA[8-2-6-2-4-2461,J,2,#6]" advise="1">
        <values>
          <value>
            <val>0</val>
          </value>
        </values>
      </ddeItem>
      <ddeItem name="@CTA[8-2-6-2-4-2461,J,3,#6]" advise="1">
        <values>
          <value>
            <val>0</val>
          </value>
        </values>
      </ddeItem>
      <ddeItem name="@CTA[8-2-6-2-4-2461,J,4,#6]" advise="1">
        <values>
          <value>
            <val>0</val>
          </value>
        </values>
      </ddeItem>
      <ddeItem name="@CTA[8-2-6-2-4-2461,J,5,#6]" advise="1">
        <values>
          <value>
            <val>0</val>
          </value>
        </values>
      </ddeItem>
      <ddeItem name="@CTA[8-2-6-2-4-2461,J,6,#6]" advise="1">
        <values>
          <value>
            <val>0</val>
          </value>
        </values>
      </ddeItem>
      <ddeItem name="@CTA[8-2-6-2-4-2461,J,7,#6]" advise="1">
        <values>
          <value>
            <val>32.74</val>
          </value>
        </values>
      </ddeItem>
      <ddeItem name="@CTA[8-2-6-2-4-2461,J,8,#6]" advise="1">
        <values>
          <value>
            <val>0</val>
          </value>
        </values>
      </ddeItem>
      <ddeItem name="@CTA[8-2-6-2-4-2461,J,9,#6]" advise="1">
        <values>
          <value>
            <val>0</val>
          </value>
        </values>
      </ddeItem>
      <ddeItem name="@CTA[8-2-6-2-4-2471,J,1,#6]" advise="1">
        <values>
          <value>
            <val>759.12</val>
          </value>
        </values>
      </ddeItem>
      <ddeItem name="@CTA[8-2-6-2-4-2471,J,2,#6]" advise="1">
        <values>
          <value>
            <val>0</val>
          </value>
        </values>
      </ddeItem>
      <ddeItem name="@CTA[8-2-6-2-4-2471,J,3,#6]" advise="1">
        <values>
          <value>
            <val>180</val>
          </value>
        </values>
      </ddeItem>
      <ddeItem name="@CTA[8-2-6-2-4-2471,J,4,#6]" advise="1">
        <values>
          <value>
            <val>0</val>
          </value>
        </values>
      </ddeItem>
      <ddeItem name="@CTA[8-2-6-2-4-2471,J,5,#6]" advise="1">
        <values>
          <value>
            <val>0</val>
          </value>
        </values>
      </ddeItem>
      <ddeItem name="@CTA[8-2-6-2-4-2471,J,6,#6]" advise="1">
        <values>
          <value>
            <val>0</val>
          </value>
        </values>
      </ddeItem>
      <ddeItem name="@CTA[8-2-6-2-4-2471,J,7,#6]" advise="1">
        <values>
          <value>
            <val>9080</val>
          </value>
        </values>
      </ddeItem>
      <ddeItem name="@CTA[8-2-6-2-4-2471,J,8,#6]" advise="1">
        <values>
          <value>
            <val>0</val>
          </value>
        </values>
      </ddeItem>
      <ddeItem name="@CTA[8-2-6-2-4-2471,J,9,#6]" advise="1">
        <values>
          <value t="nil">
            <val>1</val>
          </value>
        </values>
      </ddeItem>
      <ddeItem name="@CTA[8-2-6-2-4-2481,J,1,#6]" advise="1">
        <values>
          <value t="nil">
            <val>1</val>
          </value>
        </values>
      </ddeItem>
      <ddeItem name="@CTA[8-2-6-2-4-2481,J,2,#6]" advise="1">
        <values>
          <value t="nil">
            <val>1</val>
          </value>
        </values>
      </ddeItem>
      <ddeItem name="@CTA[8-2-6-2-4-2481,J,3,#6]" advise="1">
        <values>
          <value t="nil">
            <val>1</val>
          </value>
        </values>
      </ddeItem>
      <ddeItem name="@CTA[8-2-6-2-4-2481,J,4,#6]" advise="1">
        <values>
          <value t="nil">
            <val>1</val>
          </value>
        </values>
      </ddeItem>
      <ddeItem name="@CTA[8-2-6-2-4-2481,J,5,#6]" advise="1">
        <values>
          <value t="nil">
            <val>1</val>
          </value>
        </values>
      </ddeItem>
      <ddeItem name="@CTA[8-2-6-2-4-2481,J,6,#6]" advise="1">
        <values>
          <value t="nil">
            <val>1</val>
          </value>
        </values>
      </ddeItem>
      <ddeItem name="@CTA[8-2-6-2-4-2481,J,7,#6]" advise="1">
        <values>
          <value t="nil">
            <val>1</val>
          </value>
        </values>
      </ddeItem>
      <ddeItem name="@CTA[8-2-6-2-4-2481,J,8,#6]" advise="1">
        <values>
          <value t="nil">
            <val>1</val>
          </value>
        </values>
      </ddeItem>
      <ddeItem name="@CTA[8-2-6-2-4-2481,J,9,#6]" advise="1">
        <values>
          <value t="nil">
            <val>1</val>
          </value>
        </values>
      </ddeItem>
      <ddeItem name="@CTA[8-2-6-2-4-2491,J,1,#6]" advise="1">
        <values>
          <value>
            <val>203122.40000000002</val>
          </value>
        </values>
      </ddeItem>
      <ddeItem name="@CTA[8-2-6-2-4-2491,J,2,#6]" advise="1">
        <values>
          <value t="nil">
            <val>1</val>
          </value>
        </values>
      </ddeItem>
      <ddeItem name="@CTA[8-2-6-2-4-2491,J,3,#6]" advise="1">
        <values>
          <value t="nil">
            <val>1</val>
          </value>
        </values>
      </ddeItem>
      <ddeItem name="@CTA[8-2-6-2-4-2491,J,4,#6]" advise="1">
        <values>
          <value t="nil">
            <val>1</val>
          </value>
        </values>
      </ddeItem>
      <ddeItem name="@CTA[8-2-6-2-4-2491,J,5,#6]" advise="1">
        <values>
          <value>
            <val>252904</val>
          </value>
        </values>
      </ddeItem>
      <ddeItem name="@CTA[8-2-6-2-4-2491,J,6,#6]" advise="1">
        <values>
          <value>
            <val>0</val>
          </value>
        </values>
      </ddeItem>
      <ddeItem name="@CTA[8-2-6-2-4-2491,J,7,#6]" advise="1">
        <values>
          <value t="nil">
            <val>1</val>
          </value>
        </values>
      </ddeItem>
      <ddeItem name="@CTA[8-2-6-2-4-2491,J,8,#6]" advise="1">
        <values>
          <value t="nil">
            <val>1</val>
          </value>
        </values>
      </ddeItem>
      <ddeItem name="@CTA[8-2-6-2-4-2491,J,9,#6]" advise="1">
        <values>
          <value t="nil">
            <val>1</val>
          </value>
        </values>
      </ddeItem>
      <ddeItem name="@CTA[8-2-6-2-4-2492,J,1,#6]" advise="1">
        <values>
          <value>
            <val>209077.21000000002</val>
          </value>
        </values>
      </ddeItem>
      <ddeItem name="@CTA[8-2-6-2-4-2492,J,2,#6]" advise="1">
        <values>
          <value t="nil">
            <val>1</val>
          </value>
        </values>
      </ddeItem>
      <ddeItem name="@CTA[8-2-6-2-4-2492,J,3,#6]" advise="1">
        <values>
          <value>
            <val>0</val>
          </value>
        </values>
      </ddeItem>
      <ddeItem name="@CTA[8-2-6-2-4-2492,J,4,#6]" advise="1">
        <values>
          <value t="nil">
            <val>1</val>
          </value>
        </values>
      </ddeItem>
      <ddeItem name="@CTA[8-2-6-2-4-2492,J,5,#6]" advise="1">
        <values>
          <value t="nil">
            <val>1</val>
          </value>
        </values>
      </ddeItem>
      <ddeItem name="@CTA[8-2-6-2-4-2492,J,6,#6]" advise="1">
        <values>
          <value t="nil">
            <val>1</val>
          </value>
        </values>
      </ddeItem>
      <ddeItem name="@CTA[8-2-6-2-4-2492,J,7,#6]" advise="1">
        <values>
          <value>
            <val>0</val>
          </value>
        </values>
      </ddeItem>
      <ddeItem name="@CTA[8-2-6-2-4-2492,J,8,#6]" advise="1">
        <values>
          <value>
            <val>0</val>
          </value>
        </values>
      </ddeItem>
      <ddeItem name="@CTA[8-2-6-2-4-2492,J,9,#6]" advise="1">
        <values>
          <value t="nil">
            <val>1</val>
          </value>
        </values>
      </ddeItem>
      <ddeItem name="@CTA[8-2-6-2-5-2531,J,1,#6]" advise="1">
        <values>
          <value t="nil">
            <val>1</val>
          </value>
        </values>
      </ddeItem>
      <ddeItem name="@CTA[8-2-6-2-5-2531,J,2,#6]" advise="1">
        <values>
          <value t="nil">
            <val>1</val>
          </value>
        </values>
      </ddeItem>
      <ddeItem name="@CTA[8-2-6-2-5-2531,J,3,#6]" advise="1">
        <values>
          <value>
            <val>0</val>
          </value>
        </values>
      </ddeItem>
      <ddeItem name="@CTA[8-2-6-2-5-2531,J,4,#6]" advise="1">
        <values>
          <value t="nil">
            <val>1</val>
          </value>
        </values>
      </ddeItem>
      <ddeItem name="@CTA[8-2-6-2-5-2531,J,5,#6]" advise="1">
        <values>
          <value t="nil">
            <val>1</val>
          </value>
        </values>
      </ddeItem>
      <ddeItem name="@CTA[8-2-6-2-5-2531,J,6,#6]" advise="1">
        <values>
          <value t="nil">
            <val>1</val>
          </value>
        </values>
      </ddeItem>
      <ddeItem name="@CTA[8-2-6-2-5-2531,J,7,#6]" advise="1">
        <values>
          <value>
            <val>0</val>
          </value>
        </values>
      </ddeItem>
      <ddeItem name="@CTA[8-2-6-2-5-2531,J,8,#6]" advise="1">
        <values>
          <value t="nil">
            <val>1</val>
          </value>
        </values>
      </ddeItem>
      <ddeItem name="@CTA[8-2-6-2-5-2531,J,9,#6]" advise="1">
        <values>
          <value t="nil">
            <val>1</val>
          </value>
        </values>
      </ddeItem>
      <ddeItem name="@CTA[8-2-6-2-5-2551,J,1,#6]" advise="1">
        <values>
          <value t="nil">
            <val>1</val>
          </value>
        </values>
      </ddeItem>
      <ddeItem name="@CTA[8-2-6-2-5-2551,J,2,#6]" advise="1">
        <values>
          <value t="nil">
            <val>1</val>
          </value>
        </values>
      </ddeItem>
      <ddeItem name="@CTA[8-2-6-2-5-2551,J,3,#6]" advise="1">
        <values>
          <value t="nil">
            <val>1</val>
          </value>
        </values>
      </ddeItem>
      <ddeItem name="@CTA[8-2-6-2-5-2551,J,4,#6]" advise="1">
        <values>
          <value t="nil">
            <val>1</val>
          </value>
        </values>
      </ddeItem>
      <ddeItem name="@CTA[8-2-6-2-5-2551,J,5,#6]" advise="1">
        <values>
          <value t="nil">
            <val>1</val>
          </value>
        </values>
      </ddeItem>
      <ddeItem name="@CTA[8-2-6-2-5-2551,J,6,#6]" advise="1">
        <values>
          <value t="nil">
            <val>1</val>
          </value>
        </values>
      </ddeItem>
      <ddeItem name="@CTA[8-2-6-2-5-2551,J,7,#6]" advise="1">
        <values>
          <value>
            <val>0</val>
          </value>
        </values>
      </ddeItem>
      <ddeItem name="@CTA[8-2-6-2-5-2551,J,8,#6]" advise="1">
        <values>
          <value t="nil">
            <val>1</val>
          </value>
        </values>
      </ddeItem>
      <ddeItem name="@CTA[8-2-6-2-5-2551,J,9,#6]" advise="1">
        <values>
          <value t="nil">
            <val>1</val>
          </value>
        </values>
      </ddeItem>
      <ddeItem name="@CTA[8-2-6-2-5-2591,J,1,#6]" advise="1">
        <values>
          <value>
            <val>125048.93</val>
          </value>
        </values>
      </ddeItem>
      <ddeItem name="@CTA[8-2-6-2-5-2591,J,2,#6]" advise="1">
        <values>
          <value>
            <val>26.94</val>
          </value>
        </values>
      </ddeItem>
      <ddeItem name="@CTA[8-2-6-2-5-2591,J,3,#6]" advise="1">
        <values>
          <value>
            <val>26.94</val>
          </value>
        </values>
      </ddeItem>
      <ddeItem name="@CTA[8-2-6-2-5-2591,J,4,#6]" advise="1">
        <values>
          <value>
            <val>26.94</val>
          </value>
        </values>
      </ddeItem>
      <ddeItem name="@CTA[8-2-6-2-5-2591,J,5,#6]" advise="1">
        <values>
          <value>
            <val>26.94</val>
          </value>
        </values>
      </ddeItem>
      <ddeItem name="@CTA[8-2-6-2-5-2591,J,6,#6]" advise="1">
        <values>
          <value>
            <val>26.94</val>
          </value>
        </values>
      </ddeItem>
      <ddeItem name="@CTA[8-2-6-2-5-2591,J,7,#6]" advise="1">
        <values>
          <value>
            <val>26.94</val>
          </value>
        </values>
      </ddeItem>
      <ddeItem name="@CTA[8-2-6-2-5-2591,J,8,#6]" advise="1">
        <values>
          <value>
            <val>26.94</val>
          </value>
        </values>
      </ddeItem>
      <ddeItem name="@CTA[8-2-6-2-5-2591,J,9,#6]" advise="1">
        <values>
          <value>
            <val>0</val>
          </value>
        </values>
      </ddeItem>
      <ddeItem name="@CTA[8-2-6-2-6-2611,J,1,#6]" advise="1">
        <values>
          <value>
            <val>0</val>
          </value>
        </values>
      </ddeItem>
      <ddeItem name="@CTA[8-2-6-2-6-2611,J,2,#6]" advise="1">
        <values>
          <value>
            <val>5321.0499999999993</val>
          </value>
        </values>
      </ddeItem>
      <ddeItem name="@CTA[8-2-6-2-6-2611,J,3,#6]" advise="1">
        <values>
          <value t="nil">
            <val>1</val>
          </value>
        </values>
      </ddeItem>
      <ddeItem name="@CTA[8-2-6-2-6-2611,J,4,#6]" advise="1">
        <values>
          <value t="nil">
            <val>1</val>
          </value>
        </values>
      </ddeItem>
      <ddeItem name="@CTA[8-2-6-2-6-2611,J,5,#6]" advise="1">
        <values>
          <value>
            <val>915.59</val>
          </value>
        </values>
      </ddeItem>
      <ddeItem name="@CTA[8-2-6-2-6-2611,J,6,#6]" advise="1">
        <values>
          <value t="nil">
            <val>1</val>
          </value>
        </values>
      </ddeItem>
      <ddeItem name="@CTA[8-2-6-2-6-2611,J,7,#6]" advise="1">
        <values>
          <value>
            <val>7670.68</val>
          </value>
        </values>
      </ddeItem>
      <ddeItem name="@CTA[8-2-6-2-6-2611,J,8,#6]" advise="1">
        <values>
          <value>
            <val>2430.08</val>
          </value>
        </values>
      </ddeItem>
      <ddeItem name="@CTA[8-2-6-2-6-2611,J,9,#6]" advise="1">
        <values>
          <value>
            <val>5001.5599999999995</val>
          </value>
        </values>
      </ddeItem>
      <ddeItem name="@CTA[8-2-6-2-6-2612,J,1,#6]" advise="1">
        <values>
          <value>
            <val>152122.88</val>
          </value>
        </values>
      </ddeItem>
      <ddeItem name="@CTA[8-2-6-2-6-2612,J,2,#6]" advise="1">
        <values>
          <value t="nil">
            <val>1</val>
          </value>
        </values>
      </ddeItem>
      <ddeItem name="@CTA[8-2-6-2-6-2612,J,3,#6]" advise="1">
        <values>
          <value t="nil">
            <val>1</val>
          </value>
        </values>
      </ddeItem>
      <ddeItem name="@CTA[8-2-6-2-6-2612,J,4,#6]" advise="1">
        <values>
          <value t="nil">
            <val>1</val>
          </value>
        </values>
      </ddeItem>
      <ddeItem name="@CTA[8-2-6-2-6-2612,J,5,#6]" advise="1">
        <values>
          <value t="nil">
            <val>1</val>
          </value>
        </values>
      </ddeItem>
      <ddeItem name="@CTA[8-2-6-2-6-2612,J,6,#6]" advise="1">
        <values>
          <value t="nil">
            <val>1</val>
          </value>
        </values>
      </ddeItem>
      <ddeItem name="@CTA[8-2-6-2-6-2612,J,7,#6]" advise="1">
        <values>
          <value>
            <val>3890.4300000000003</val>
          </value>
        </values>
      </ddeItem>
      <ddeItem name="@CTA[8-2-6-2-6-2612,J,8,#6]" advise="1">
        <values>
          <value>
            <val>0</val>
          </value>
        </values>
      </ddeItem>
      <ddeItem name="@CTA[8-2-6-2-6-2612,J,9,#6]" advise="1">
        <values>
          <value t="nil">
            <val>1</val>
          </value>
        </values>
      </ddeItem>
      <ddeItem name="@CTA[8-2-6-2-7-2711,J,1,#6]" advise="1">
        <values>
          <value>
            <val>5058.0599999999995</val>
          </value>
        </values>
      </ddeItem>
      <ddeItem name="@CTA[8-2-6-2-7-2711,J,2,#6]" advise="1">
        <values>
          <value>
            <val>8689.68</val>
          </value>
        </values>
      </ddeItem>
      <ddeItem name="@CTA[8-2-6-2-7-2711,J,3,#6]" advise="1">
        <values>
          <value>
            <val>4980</val>
          </value>
        </values>
      </ddeItem>
      <ddeItem name="@CTA[8-2-6-2-7-2711,J,4,#6]" advise="1">
        <values>
          <value>
            <val>15796.02</val>
          </value>
        </values>
      </ddeItem>
      <ddeItem name="@CTA[8-2-6-2-7-2711,J,5,#6]" advise="1">
        <values>
          <value>
            <val>6692.04</val>
          </value>
        </values>
      </ddeItem>
      <ddeItem name="@CTA[8-2-6-2-7-2711,J,6,#6]" advise="1">
        <values>
          <value>
            <val>1712.04</val>
          </value>
        </values>
      </ddeItem>
      <ddeItem name="@CTA[8-2-6-2-7-2711,J,7,#6]" advise="1">
        <values>
          <value>
            <val>856.02</val>
          </value>
        </values>
      </ddeItem>
      <ddeItem name="@CTA[8-2-6-2-7-2711,J,8,#6]" advise="1">
        <values>
          <value>
            <val>1712.04</val>
          </value>
        </values>
      </ddeItem>
      <ddeItem name="@CTA[8-2-6-2-7-2711,J,9,#6]" advise="1">
        <values>
          <value>
            <val>4201.1000000000004</val>
          </value>
        </values>
      </ddeItem>
      <ddeItem name="@CTA[8-2-6-2-7-2712,J,1,#6]" advise="1">
        <values>
          <value>
            <val>49212.54</val>
          </value>
        </values>
      </ddeItem>
      <ddeItem name="@CTA[8-2-6-2-7-2712,J,2,#6]" advise="1">
        <values>
          <value>
            <val>587.4</val>
          </value>
        </values>
      </ddeItem>
      <ddeItem name="@CTA[8-2-6-2-7-2712,J,3,#6]" advise="1">
        <values>
          <value>
            <val>7994.62</val>
          </value>
        </values>
      </ddeItem>
      <ddeItem name="@CTA[8-2-6-2-7-2712,J,4,#6]" advise="1">
        <values>
          <value>
            <val>0</val>
          </value>
        </values>
      </ddeItem>
      <ddeItem name="@CTA[8-2-6-2-7-2712,J,5,#6]" advise="1">
        <values>
          <value>
            <val>9317.7799999999988</val>
          </value>
        </values>
      </ddeItem>
      <ddeItem name="@CTA[8-2-6-2-7-2712,J,6,#6]" advise="1">
        <values>
          <value t="nil">
            <val>1</val>
          </value>
        </values>
      </ddeItem>
      <ddeItem name="@CTA[8-2-6-2-7-2712,J,7,#6]" advise="1">
        <values>
          <value>
            <val>12808</val>
          </value>
        </values>
      </ddeItem>
      <ddeItem name="@CTA[8-2-6-2-7-2712,J,8,#6]" advise="1">
        <values>
          <value t="nil">
            <val>1</val>
          </value>
        </values>
      </ddeItem>
      <ddeItem name="@CTA[8-2-6-2-7-2712,J,9,#6]" advise="1">
        <values>
          <value t="nil">
            <val>1</val>
          </value>
        </values>
      </ddeItem>
      <ddeItem name="@CTA[8-2-6-2-7-2721,J,1,#6]" advise="1">
        <values>
          <value>
            <val>449.24</val>
          </value>
        </values>
      </ddeItem>
      <ddeItem name="@CTA[8-2-6-2-7-2721,J,2,#6]" advise="1">
        <values>
          <value>
            <val>0</val>
          </value>
        </values>
      </ddeItem>
      <ddeItem name="@CTA[8-2-6-2-7-2721,J,3,#6]" advise="1">
        <values>
          <value>
            <val>0</val>
          </value>
        </values>
      </ddeItem>
      <ddeItem name="@CTA[8-2-6-2-7-2721,J,4,#6]" advise="1">
        <values>
          <value>
            <val>0</val>
          </value>
        </values>
      </ddeItem>
      <ddeItem name="@CTA[8-2-6-2-7-2721,J,5,#6]" advise="1">
        <values>
          <value>
            <val>0</val>
          </value>
        </values>
      </ddeItem>
      <ddeItem name="@CTA[8-2-6-2-7-2721,J,6,#6]" advise="1">
        <values>
          <value>
            <val>0</val>
          </value>
        </values>
      </ddeItem>
      <ddeItem name="@CTA[8-2-6-2-7-2721,J,7,#6]" advise="1">
        <values>
          <value>
            <val>544.22</val>
          </value>
        </values>
      </ddeItem>
      <ddeItem name="@CTA[8-2-6-2-7-2721,J,8,#6]" advise="1">
        <values>
          <value>
            <val>120</val>
          </value>
        </values>
      </ddeItem>
      <ddeItem name="@CTA[8-2-6-2-7-2721,J,9,#6]" advise="1">
        <values>
          <value>
            <val>0</val>
          </value>
        </values>
      </ddeItem>
      <ddeItem name="@CTA[8-2-6-2-7-2731,J,1,#6]" advise="1">
        <values>
          <value>
            <val>0</val>
          </value>
        </values>
      </ddeItem>
      <ddeItem name="@CTA[8-2-6-2-7-2731,J,2,#6]" advise="1">
        <values>
          <value t="nil">
            <val>1</val>
          </value>
        </values>
      </ddeItem>
      <ddeItem name="@CTA[8-2-6-2-7-2731,J,3,#6]" advise="1">
        <values>
          <value t="nil">
            <val>1</val>
          </value>
        </values>
      </ddeItem>
      <ddeItem name="@CTA[8-2-6-2-7-2731,J,4,#6]" advise="1">
        <values>
          <value t="nil">
            <val>1</val>
          </value>
        </values>
      </ddeItem>
      <ddeItem name="@CTA[8-2-6-2-7-2731,J,5,#6]" advise="1">
        <values>
          <value t="nil">
            <val>1</val>
          </value>
        </values>
      </ddeItem>
      <ddeItem name="@CTA[8-2-6-2-7-2731,J,6,#6]" advise="1">
        <values>
          <value t="nil">
            <val>1</val>
          </value>
        </values>
      </ddeItem>
      <ddeItem name="@CTA[8-2-6-2-7-2731,J,7,#6]" advise="1">
        <values>
          <value>
            <val>0</val>
          </value>
        </values>
      </ddeItem>
      <ddeItem name="@CTA[8-2-6-2-7-2731,J,8,#6]" advise="1">
        <values>
          <value t="nil">
            <val>1</val>
          </value>
        </values>
      </ddeItem>
      <ddeItem name="@CTA[8-2-6-2-7-2731,J,9,#6]" advise="1">
        <values>
          <value t="nil">
            <val>1</val>
          </value>
        </values>
      </ddeItem>
      <ddeItem name="@CTA[8-2-6-2-9-2911,J,1,#6]" advise="1">
        <values>
          <value>
            <val>17816.080000000002</val>
          </value>
        </values>
      </ddeItem>
      <ddeItem name="@CTA[8-2-6-2-9-2911,J,2,#6]" advise="1">
        <values>
          <value>
            <val>0</val>
          </value>
        </values>
      </ddeItem>
      <ddeItem name="@CTA[8-2-6-2-9-2911,J,3,#6]" advise="1">
        <values>
          <value>
            <val>655.43000000000006</val>
          </value>
        </values>
      </ddeItem>
      <ddeItem name="@CTA[8-2-6-2-9-2911,J,4,#6]" advise="1">
        <values>
          <value>
            <val>0</val>
          </value>
        </values>
      </ddeItem>
      <ddeItem name="@CTA[8-2-6-2-9-2911,J,5,#6]" advise="1">
        <values>
          <value>
            <val>1031</val>
          </value>
        </values>
      </ddeItem>
      <ddeItem name="@CTA[8-2-6-2-9-2911,J,6,#6]" advise="1">
        <values>
          <value>
            <val>719.99</val>
          </value>
        </values>
      </ddeItem>
      <ddeItem name="@CTA[8-2-6-2-9-2911,J,7,#6]" advise="1">
        <values>
          <value>
            <val>1165.02</val>
          </value>
        </values>
      </ddeItem>
      <ddeItem name="@CTA[8-2-6-2-9-2911,J,8,#6]" advise="1">
        <values>
          <value>
            <val>826.22</val>
          </value>
        </values>
      </ddeItem>
      <ddeItem name="@CTA[8-2-6-2-9-2911,J,9,#6]" advise="1">
        <values>
          <value>
            <val>340.09</val>
          </value>
        </values>
      </ddeItem>
      <ddeItem name="@CTA[8-2-6-3-1-3111,J,1,#6]" advise="1">
        <values>
          <value>
            <val>1650375.4099999997</val>
          </value>
        </values>
      </ddeItem>
      <ddeItem name="@CTA[8-2-6-3-1-3111,J,2,#6]" advise="1">
        <values>
          <value>
            <val>2187.1799999999998</val>
          </value>
        </values>
      </ddeItem>
      <ddeItem name="@CTA[8-2-6-3-1-3111,J,3,#6]" advise="1">
        <values>
          <value>
            <val>2187.1799999999998</val>
          </value>
        </values>
      </ddeItem>
      <ddeItem name="@CTA[8-2-6-3-1-3111,J,4,#6]" advise="1">
        <values>
          <value>
            <val>2187.1799999999998</val>
          </value>
        </values>
      </ddeItem>
      <ddeItem name="@CTA[8-2-6-3-1-3111,J,5,#6]" advise="1">
        <values>
          <value>
            <val>2187.19</val>
          </value>
        </values>
      </ddeItem>
      <ddeItem name="@CTA[8-2-6-3-1-3111,J,6,#6]" advise="1">
        <values>
          <value>
            <val>2187.19</val>
          </value>
        </values>
      </ddeItem>
      <ddeItem name="@CTA[8-2-6-3-1-3111,J,7,#6]" advise="1">
        <values>
          <value>
            <val>336158.48</val>
          </value>
        </values>
      </ddeItem>
      <ddeItem name="@CTA[8-2-6-3-1-3111,J,8,#6]" advise="1">
        <values>
          <value>
            <val>2187.19</val>
          </value>
        </values>
      </ddeItem>
      <ddeItem name="@CTA[8-2-6-3-1-3111,J,9,#6]" advise="1">
        <values>
          <value>
            <val>2187.19</val>
          </value>
        </values>
      </ddeItem>
      <ddeItem name="@CTA[8-2-6-3-1-3131,J,1,#6]" advise="1">
        <values>
          <value>
            <val>182.39000000000001</val>
          </value>
        </values>
      </ddeItem>
      <ddeItem name="@CTA[8-2-6-3-1-3131,J,2,#6]" advise="1">
        <values>
          <value>
            <val>182.39000000000001</val>
          </value>
        </values>
      </ddeItem>
      <ddeItem name="@CTA[8-2-6-3-1-3131,J,3,#6]" advise="1">
        <values>
          <value>
            <val>182.39000000000001</val>
          </value>
        </values>
      </ddeItem>
      <ddeItem name="@CTA[8-2-6-3-1-3131,J,4,#6]" advise="1">
        <values>
          <value>
            <val>182.39000000000001</val>
          </value>
        </values>
      </ddeItem>
      <ddeItem name="@CTA[8-2-6-3-1-3131,J,5,#6]" advise="1">
        <values>
          <value>
            <val>182.4</val>
          </value>
        </values>
      </ddeItem>
      <ddeItem name="@CTA[8-2-6-3-1-3131,J,6,#6]" advise="1">
        <values>
          <value>
            <val>182.4</val>
          </value>
        </values>
      </ddeItem>
      <ddeItem name="@CTA[8-2-6-3-1-3131,J,7,#6]" advise="1">
        <values>
          <value>
            <val>182.4</val>
          </value>
        </values>
      </ddeItem>
      <ddeItem name="@CTA[8-2-6-3-1-3131,J,8,#6]" advise="1">
        <values>
          <value>
            <val>182.4</val>
          </value>
        </values>
      </ddeItem>
      <ddeItem name="@CTA[8-2-6-3-1-3131,J,9,#6]" advise="1">
        <values>
          <value>
            <val>182.41</val>
          </value>
        </values>
      </ddeItem>
      <ddeItem name="@CTA[8-2-6-3-1-3141,J,1,#6]" advise="1">
        <values>
          <value>
            <val>1091.02</val>
          </value>
        </values>
      </ddeItem>
      <ddeItem name="@CTA[8-2-6-3-1-3141,J,2,#6]" advise="1">
        <values>
          <value>
            <val>1091.02</val>
          </value>
        </values>
      </ddeItem>
      <ddeItem name="@CTA[8-2-6-3-1-3141,J,3,#6]" advise="1">
        <values>
          <value>
            <val>1091.02</val>
          </value>
        </values>
      </ddeItem>
      <ddeItem name="@CTA[8-2-6-3-1-3141,J,4,#6]" advise="1">
        <values>
          <value>
            <val>1091.02</val>
          </value>
        </values>
      </ddeItem>
      <ddeItem name="@CTA[8-2-6-3-1-3141,J,5,#6]" advise="1">
        <values>
          <value>
            <val>1091.02</val>
          </value>
        </values>
      </ddeItem>
      <ddeItem name="@CTA[8-2-6-3-1-3141,J,6,#6]" advise="1">
        <values>
          <value>
            <val>1091.01</val>
          </value>
        </values>
      </ddeItem>
      <ddeItem name="@CTA[8-2-6-3-1-3141,J,7,#6]" advise="1">
        <values>
          <value>
            <val>1091</val>
          </value>
        </values>
      </ddeItem>
      <ddeItem name="@CTA[8-2-6-3-1-3141,J,8,#6]" advise="1">
        <values>
          <value>
            <val>1090.98</val>
          </value>
        </values>
      </ddeItem>
      <ddeItem name="@CTA[8-2-6-3-1-3141,J,9,#6]" advise="1">
        <values>
          <value>
            <val>1090.97</val>
          </value>
        </values>
      </ddeItem>
      <ddeItem name="@CTA[8-2-6-3-1-3161,J,1,#6]" advise="1">
        <values>
          <value>
            <val>3068.26</val>
          </value>
        </values>
      </ddeItem>
      <ddeItem name="@CTA[8-2-6-3-1-3161,J,2,#6]" advise="1">
        <values>
          <value>
            <val>2098.9499999999998</val>
          </value>
        </values>
      </ddeItem>
      <ddeItem name="@CTA[8-2-6-3-1-3161,J,3,#6]" advise="1">
        <values>
          <value>
            <val>0</val>
          </value>
        </values>
      </ddeItem>
      <ddeItem name="@CTA[8-2-6-3-1-3161,J,4,#6]" advise="1">
        <values>
          <value>
            <val>0</val>
          </value>
        </values>
      </ddeItem>
      <ddeItem name="@CTA[8-2-6-3-1-3161,J,5,#6]" advise="1">
        <values>
          <value>
            <val>0</val>
          </value>
        </values>
      </ddeItem>
      <ddeItem name="@CTA[8-2-6-3-1-3161,J,6,#6]" advise="1">
        <values>
          <value>
            <val>0</val>
          </value>
        </values>
      </ddeItem>
      <ddeItem name="@CTA[8-2-6-3-1-3161,J,7,#6]" advise="1">
        <values>
          <value>
            <val>0</val>
          </value>
        </values>
      </ddeItem>
      <ddeItem name="@CTA[8-2-6-3-1-3161,J,8,#6]" advise="1">
        <values>
          <value>
            <val>0</val>
          </value>
        </values>
      </ddeItem>
      <ddeItem name="@CTA[8-2-6-3-1-3161,J,9,#6]" advise="1">
        <values>
          <value>
            <val>0</val>
          </value>
        </values>
      </ddeItem>
      <ddeItem name="@CTA[8-2-6-3-1-3171,J,1,#6]" advise="1">
        <values>
          <value>
            <val>0</val>
          </value>
        </values>
      </ddeItem>
      <ddeItem name="@CTA[8-2-6-3-1-3171,J,2,#6]" advise="1">
        <values>
          <value>
            <val>0</val>
          </value>
        </values>
      </ddeItem>
      <ddeItem name="@CTA[8-2-6-3-1-3171,J,3,#6]" advise="1">
        <values>
          <value>
            <val>0</val>
          </value>
        </values>
      </ddeItem>
      <ddeItem name="@CTA[8-2-6-3-1-3171,J,4,#6]" advise="1">
        <values>
          <value>
            <val>0</val>
          </value>
        </values>
      </ddeItem>
      <ddeItem name="@CTA[8-2-6-3-1-3171,J,5,#6]" advise="1">
        <values>
          <value>
            <val>0</val>
          </value>
        </values>
      </ddeItem>
      <ddeItem name="@CTA[8-2-6-3-1-3171,J,6,#6]" advise="1">
        <values>
          <value>
            <val>0</val>
          </value>
        </values>
      </ddeItem>
      <ddeItem name="@CTA[8-2-6-3-1-3171,J,7,#6]" advise="1">
        <values>
          <value>
            <val>0</val>
          </value>
        </values>
      </ddeItem>
      <ddeItem name="@CTA[8-2-6-3-1-3171,J,8,#6]" advise="1">
        <values>
          <value>
            <val>0</val>
          </value>
        </values>
      </ddeItem>
      <ddeItem name="@CTA[8-2-6-3-1-3171,J,9,#6]" advise="1">
        <values>
          <value>
            <val>0</val>
          </value>
        </values>
      </ddeItem>
      <ddeItem name="@CTA[8-2-6-3-1-3181,J,1,#6]" advise="1">
        <values>
          <value>
            <val>0</val>
          </value>
        </values>
      </ddeItem>
      <ddeItem name="@CTA[8-2-6-3-1-3181,J,2,#6]" advise="1">
        <values>
          <value>
            <val>0</val>
          </value>
        </values>
      </ddeItem>
      <ddeItem name="@CTA[8-2-6-3-1-3181,J,3,#6]" advise="1">
        <values>
          <value t="nil">
            <val>1</val>
          </value>
        </values>
      </ddeItem>
      <ddeItem name="@CTA[8-2-6-3-1-3181,J,4,#6]" advise="1">
        <values>
          <value t="nil">
            <val>1</val>
          </value>
        </values>
      </ddeItem>
      <ddeItem name="@CTA[8-2-6-3-1-3181,J,5,#6]" advise="1">
        <values>
          <value t="nil">
            <val>1</val>
          </value>
        </values>
      </ddeItem>
      <ddeItem name="@CTA[8-2-6-3-1-3181,J,6,#6]" advise="1">
        <values>
          <value t="nil">
            <val>1</val>
          </value>
        </values>
      </ddeItem>
      <ddeItem name="@CTA[8-2-6-3-1-3181,J,7,#6]" advise="1">
        <values>
          <value t="nil">
            <val>1</val>
          </value>
        </values>
      </ddeItem>
      <ddeItem name="@CTA[8-2-6-3-1-3181,J,8,#6]" advise="1">
        <values>
          <value t="nil">
            <val>1</val>
          </value>
        </values>
      </ddeItem>
      <ddeItem name="@CTA[8-2-6-3-1-3181,J,9,#6]" advise="1">
        <values>
          <value t="nil">
            <val>1</val>
          </value>
        </values>
      </ddeItem>
      <ddeItem name="@CTA[8-2-6-3-1-3182,J,1,#6]" advise="1">
        <values>
          <value t="nil">
            <val>1</val>
          </value>
        </values>
      </ddeItem>
      <ddeItem name="@CTA[8-2-6-3-1-3182,J,2,#6]" advise="1">
        <values>
          <value t="nil">
            <val>1</val>
          </value>
        </values>
      </ddeItem>
      <ddeItem name="@CTA[8-2-6-3-1-3182,J,3,#6]" advise="1">
        <values>
          <value t="nil">
            <val>1</val>
          </value>
        </values>
      </ddeItem>
      <ddeItem name="@CTA[8-2-6-3-1-3182,J,4,#6]" advise="1">
        <values>
          <value t="nil">
            <val>1</val>
          </value>
        </values>
      </ddeItem>
      <ddeItem name="@CTA[8-2-6-3-1-3182,J,5,#6]" advise="1">
        <values>
          <value t="nil">
            <val>1</val>
          </value>
        </values>
      </ddeItem>
      <ddeItem name="@CTA[8-2-6-3-1-3182,J,6,#6]" advise="1">
        <values>
          <value t="nil">
            <val>1</val>
          </value>
        </values>
      </ddeItem>
      <ddeItem name="@CTA[8-2-6-3-1-3182,J,7,#6]" advise="1">
        <values>
          <value t="nil">
            <val>1</val>
          </value>
        </values>
      </ddeItem>
      <ddeItem name="@CTA[8-2-6-3-1-3182,J,8,#6]" advise="1">
        <values>
          <value t="nil">
            <val>1</val>
          </value>
        </values>
      </ddeItem>
      <ddeItem name="@CTA[8-2-6-3-1-3182,J,9,#6]" advise="1">
        <values>
          <value t="nil">
            <val>1</val>
          </value>
        </values>
      </ddeItem>
      <ddeItem name="@CTA[8-2-6-3-2-3211,J,1,#6]" advise="1">
        <values>
          <value>
            <val>0</val>
          </value>
        </values>
      </ddeItem>
      <ddeItem name="@CTA[8-2-6-3-2-3211,J,2,#6]" advise="1">
        <values>
          <value t="nil">
            <val>1</val>
          </value>
        </values>
      </ddeItem>
      <ddeItem name="@CTA[8-2-6-3-2-3211,J,3,#6]" advise="1">
        <values>
          <value t="nil">
            <val>1</val>
          </value>
        </values>
      </ddeItem>
      <ddeItem name="@CTA[8-2-6-3-2-3211,J,4,#6]" advise="1">
        <values>
          <value t="nil">
            <val>1</val>
          </value>
        </values>
      </ddeItem>
      <ddeItem name="@CTA[8-2-6-3-2-3211,J,5,#6]" advise="1">
        <values>
          <value t="nil">
            <val>1</val>
          </value>
        </values>
      </ddeItem>
      <ddeItem name="@CTA[8-2-6-3-2-3211,J,6,#6]" advise="1">
        <values>
          <value t="nil">
            <val>1</val>
          </value>
        </values>
      </ddeItem>
      <ddeItem name="@CTA[8-2-6-3-2-3211,J,7,#6]" advise="1">
        <values>
          <value t="nil">
            <val>1</val>
          </value>
        </values>
      </ddeItem>
      <ddeItem name="@CTA[8-2-6-3-2-3211,J,8,#6]" advise="1">
        <values>
          <value t="nil">
            <val>1</val>
          </value>
        </values>
      </ddeItem>
      <ddeItem name="@CTA[8-2-6-3-2-3211,J,9,#6]" advise="1">
        <values>
          <value t="nil">
            <val>1</val>
          </value>
        </values>
      </ddeItem>
      <ddeItem name="@CTA[8-2-6-3-2-3231,J,1,#6]" advise="1">
        <values>
          <value>
            <val>48</val>
          </value>
        </values>
      </ddeItem>
      <ddeItem name="@CTA[8-2-6-3-2-3231,J,2,#6]" advise="1">
        <values>
          <value>
            <val>0</val>
          </value>
        </values>
      </ddeItem>
      <ddeItem name="@CTA[8-2-6-3-2-3231,J,3,#6]" advise="1">
        <values>
          <value>
            <val>0</val>
          </value>
        </values>
      </ddeItem>
      <ddeItem name="@CTA[8-2-6-3-2-3231,J,4,#6]" advise="1">
        <values>
          <value>
            <val>0</val>
          </value>
        </values>
      </ddeItem>
      <ddeItem name="@CTA[8-2-6-3-2-3231,J,5,#6]" advise="1">
        <values>
          <value>
            <val>0</val>
          </value>
        </values>
      </ddeItem>
      <ddeItem name="@CTA[8-2-6-3-2-3231,J,6,#6]" advise="1">
        <values>
          <value>
            <val>0</val>
          </value>
        </values>
      </ddeItem>
      <ddeItem name="@CTA[8-2-6-3-2-3231,J,7,#6]" advise="1">
        <values>
          <value>
            <val>0</val>
          </value>
        </values>
      </ddeItem>
      <ddeItem name="@CTA[8-2-6-3-2-3231,J,8,#6]" advise="1">
        <values>
          <value>
            <val>0</val>
          </value>
        </values>
      </ddeItem>
      <ddeItem name="@CTA[8-2-6-3-2-3231,J,9,#6]" advise="1">
        <values>
          <value>
            <val>905.21000000000015</val>
          </value>
        </values>
      </ddeItem>
      <ddeItem name="@CTA[8-2-6-3-2-3261,J,1,#6]" advise="1">
        <values>
          <value t="nil">
            <val>1</val>
          </value>
        </values>
      </ddeItem>
      <ddeItem name="@CTA[8-2-6-3-2-3261,J,2,#6]" advise="1">
        <values>
          <value t="nil">
            <val>1</val>
          </value>
        </values>
      </ddeItem>
      <ddeItem name="@CTA[8-2-6-3-2-3261,J,3,#6]" advise="1">
        <values>
          <value t="nil">
            <val>1</val>
          </value>
        </values>
      </ddeItem>
      <ddeItem name="@CTA[8-2-6-3-2-3261,J,4,#6]" advise="1">
        <values>
          <value t="nil">
            <val>1</val>
          </value>
        </values>
      </ddeItem>
      <ddeItem name="@CTA[8-2-6-3-2-3261,J,5,#6]" advise="1">
        <values>
          <value t="nil">
            <val>1</val>
          </value>
        </values>
      </ddeItem>
      <ddeItem name="@CTA[8-2-6-3-2-3261,J,6,#6]" advise="1">
        <values>
          <value t="nil">
            <val>1</val>
          </value>
        </values>
      </ddeItem>
      <ddeItem name="@CTA[8-2-6-3-2-3261,J,7,#6]" advise="1">
        <values>
          <value t="nil">
            <val>1</val>
          </value>
        </values>
      </ddeItem>
      <ddeItem name="@CTA[8-2-6-3-2-3261,J,8,#6]" advise="1">
        <values>
          <value t="nil">
            <val>1</val>
          </value>
        </values>
      </ddeItem>
      <ddeItem name="@CTA[8-2-6-3-2-3261,J,9,#6]" advise="1">
        <values>
          <value t="nil">
            <val>1</val>
          </value>
        </values>
      </ddeItem>
      <ddeItem name="@CTA[8-2-6-3-2-3291,J,1,#6]" advise="1">
        <values>
          <value t="nil">
            <val>1</val>
          </value>
        </values>
      </ddeItem>
      <ddeItem name="@CTA[8-2-6-3-2-3291,J,2,#6]" advise="1">
        <values>
          <value t="nil">
            <val>1</val>
          </value>
        </values>
      </ddeItem>
      <ddeItem name="@CTA[8-2-6-3-2-3291,J,3,#6]" advise="1">
        <values>
          <value t="nil">
            <val>1</val>
          </value>
        </values>
      </ddeItem>
      <ddeItem name="@CTA[8-2-6-3-2-3291,J,4,#6]" advise="1">
        <values>
          <value t="nil">
            <val>1</val>
          </value>
        </values>
      </ddeItem>
      <ddeItem name="@CTA[8-2-6-3-2-3291,J,5,#6]" advise="1">
        <values>
          <value t="nil">
            <val>1</val>
          </value>
        </values>
      </ddeItem>
      <ddeItem name="@CTA[8-2-6-3-2-3291,J,6,#6]" advise="1">
        <values>
          <value t="nil">
            <val>1</val>
          </value>
        </values>
      </ddeItem>
      <ddeItem name="@CTA[8-2-6-3-2-3291,J,7,#6]" advise="1">
        <values>
          <value t="nil">
            <val>1</val>
          </value>
        </values>
      </ddeItem>
      <ddeItem name="@CTA[8-2-6-3-2-3291,J,8,#6]" advise="1">
        <values>
          <value>
            <val>0</val>
          </value>
        </values>
      </ddeItem>
      <ddeItem name="@CTA[8-2-6-3-2-3291,J,9,#6]" advise="1">
        <values>
          <value t="nil">
            <val>1</val>
          </value>
        </values>
      </ddeItem>
      <ddeItem name="@CTA[8-2-6-3-3-3311,J,1,#6]" advise="1">
        <values>
          <value>
            <val>1142.8599999999999</val>
          </value>
        </values>
      </ddeItem>
      <ddeItem name="@CTA[8-2-6-3-3-3311,J,2,#6]" advise="1">
        <values>
          <value>
            <val>542462.97</val>
          </value>
        </values>
      </ddeItem>
      <ddeItem name="@CTA[8-2-6-3-3-3311,J,3,#6]" advise="1">
        <values>
          <value>
            <val>0</val>
          </value>
        </values>
      </ddeItem>
      <ddeItem name="@CTA[8-2-6-3-3-3311,J,4,#6]" advise="1">
        <values>
          <value>
            <val>0</val>
          </value>
        </values>
      </ddeItem>
      <ddeItem name="@CTA[8-2-6-3-3-3311,J,5,#6]" advise="1">
        <values>
          <value t="nil">
            <val>1</val>
          </value>
        </values>
      </ddeItem>
      <ddeItem name="@CTA[8-2-6-3-3-3311,J,6,#6]" advise="1">
        <values>
          <value t="nil">
            <val>1</val>
          </value>
        </values>
      </ddeItem>
      <ddeItem name="@CTA[8-2-6-3-3-3311,J,7,#6]" advise="1">
        <values>
          <value t="nil">
            <val>1</val>
          </value>
        </values>
      </ddeItem>
      <ddeItem name="@CTA[8-2-6-3-3-3311,J,8,#6]" advise="1">
        <values>
          <value t="nil">
            <val>1</val>
          </value>
        </values>
      </ddeItem>
      <ddeItem name="@CTA[8-2-6-3-3-3311,J,9,#6]" advise="1">
        <values>
          <value>
            <val>2285.7199999999998</val>
          </value>
        </values>
      </ddeItem>
      <ddeItem name="@CTA[8-2-6-3-3-3331,J,1,#6]" advise="1">
        <values>
          <value t="nil">
            <val>1</val>
          </value>
        </values>
      </ddeItem>
      <ddeItem name="@CTA[8-2-6-3-3-3331,J,2,#6]" advise="1">
        <values>
          <value t="nil">
            <val>1</val>
          </value>
        </values>
      </ddeItem>
      <ddeItem name="@CTA[8-2-6-3-3-3331,J,3,#6]" advise="1">
        <values>
          <value t="nil">
            <val>1</val>
          </value>
        </values>
      </ddeItem>
      <ddeItem name="@CTA[8-2-6-3-3-3331,J,4,#6]" advise="1">
        <values>
          <value t="nil">
            <val>1</val>
          </value>
        </values>
      </ddeItem>
      <ddeItem name="@CTA[8-2-6-3-3-3331,J,5,#6]" advise="1">
        <values>
          <value t="nil">
            <val>1</val>
          </value>
        </values>
      </ddeItem>
      <ddeItem name="@CTA[8-2-6-3-3-3331,J,6,#6]" advise="1">
        <values>
          <value t="nil">
            <val>1</val>
          </value>
        </values>
      </ddeItem>
      <ddeItem name="@CTA[8-2-6-3-3-3331,J,7,#6]" advise="1">
        <values>
          <value t="nil">
            <val>1</val>
          </value>
        </values>
      </ddeItem>
      <ddeItem name="@CTA[8-2-6-3-3-3331,J,8,#6]" advise="1">
        <values>
          <value t="nil">
            <val>1</val>
          </value>
        </values>
      </ddeItem>
      <ddeItem name="@CTA[8-2-6-3-3-3331,J,9,#6]" advise="1">
        <values>
          <value t="nil">
            <val>1</val>
          </value>
        </values>
      </ddeItem>
      <ddeItem name="@CTA[8-2-6-3-3-3332,J,1,#6]" advise="1">
        <values>
          <value>
            <val>0</val>
          </value>
        </values>
      </ddeItem>
      <ddeItem name="@CTA[8-2-6-3-3-3332,J,2,#6]" advise="1">
        <values>
          <value>
            <val>0</val>
          </value>
        </values>
      </ddeItem>
      <ddeItem name="@CTA[8-2-6-3-3-3332,J,3,#6]" advise="1">
        <values>
          <value t="nil">
            <val>1</val>
          </value>
        </values>
      </ddeItem>
      <ddeItem name="@CTA[8-2-6-3-3-3332,J,4,#6]" advise="1">
        <values>
          <value t="nil">
            <val>1</val>
          </value>
        </values>
      </ddeItem>
      <ddeItem name="@CTA[8-2-6-3-3-3332,J,5,#6]" advise="1">
        <values>
          <value>
            <val>0</val>
          </value>
        </values>
      </ddeItem>
      <ddeItem name="@CTA[8-2-6-3-3-3332,J,6,#6]" advise="1">
        <values>
          <value>
            <val>0</val>
          </value>
        </values>
      </ddeItem>
      <ddeItem name="@CTA[8-2-6-3-3-3332,J,7,#6]" advise="1">
        <values>
          <value>
            <val>0</val>
          </value>
        </values>
      </ddeItem>
      <ddeItem name="@CTA[8-2-6-3-3-3332,J,8,#6]" advise="1">
        <values>
          <value t="nil">
            <val>1</val>
          </value>
        </values>
      </ddeItem>
      <ddeItem name="@CTA[8-2-6-3-3-3332,J,9,#6]" advise="1">
        <values>
          <value>
            <val>74413.72</val>
          </value>
        </values>
      </ddeItem>
      <ddeItem name="@CTA[8-2-6-3-3-3341,J,1,#6]" advise="1">
        <values>
          <value>
            <val>0</val>
          </value>
        </values>
      </ddeItem>
      <ddeItem name="@CTA[8-2-6-3-3-3341,J,2,#6]" advise="1">
        <values>
          <value>
            <val>0</val>
          </value>
        </values>
      </ddeItem>
      <ddeItem name="@CTA[8-2-6-3-3-3341,J,3,#6]" advise="1">
        <values>
          <value>
            <val>16297.6</val>
          </value>
        </values>
      </ddeItem>
      <ddeItem name="@CTA[8-2-6-3-3-3341,J,4,#6]" advise="1">
        <values>
          <value>
            <val>0</val>
          </value>
        </values>
      </ddeItem>
      <ddeItem name="@CTA[8-2-6-3-3-3341,J,5,#6]" advise="1">
        <values>
          <value>
            <val>0</val>
          </value>
        </values>
      </ddeItem>
      <ddeItem name="@CTA[8-2-6-3-3-3341,J,6,#6]" advise="1">
        <values>
          <value>
            <val>0</val>
          </value>
        </values>
      </ddeItem>
      <ddeItem name="@CTA[8-2-6-3-3-3341,J,7,#6]" advise="1">
        <values>
          <value t="nil">
            <val>1</val>
          </value>
        </values>
      </ddeItem>
      <ddeItem name="@CTA[8-2-6-3-3-3341,J,8,#6]" advise="1">
        <values>
          <value>
            <val>0</val>
          </value>
        </values>
      </ddeItem>
      <ddeItem name="@CTA[8-2-6-3-3-3341,J,9,#6]" advise="1">
        <values>
          <value t="nil">
            <val>1</val>
          </value>
        </values>
      </ddeItem>
      <ddeItem name="@CTA[8-2-6-3-3-3381,J,1,#6]" advise="1">
        <values>
          <value t="nil">
            <val>1</val>
          </value>
        </values>
      </ddeItem>
      <ddeItem name="@CTA[8-2-6-3-3-3381,J,2,#6]" advise="1">
        <values>
          <value t="nil">
            <val>1</val>
          </value>
        </values>
      </ddeItem>
      <ddeItem name="@CTA[8-2-6-3-3-3381,J,3,#6]" advise="1">
        <values>
          <value t="nil">
            <val>1</val>
          </value>
        </values>
      </ddeItem>
      <ddeItem name="@CTA[8-2-6-3-3-3381,J,4,#6]" advise="1">
        <values>
          <value t="nil">
            <val>1</val>
          </value>
        </values>
      </ddeItem>
      <ddeItem name="@CTA[8-2-6-3-3-3381,J,5,#6]" advise="1">
        <values>
          <value t="nil">
            <val>1</val>
          </value>
        </values>
      </ddeItem>
      <ddeItem name="@CTA[8-2-6-3-3-3381,J,6,#6]" advise="1">
        <values>
          <value t="nil">
            <val>1</val>
          </value>
        </values>
      </ddeItem>
      <ddeItem name="@CTA[8-2-6-3-3-3381,J,7,#6]" advise="1">
        <values>
          <value t="nil">
            <val>1</val>
          </value>
        </values>
      </ddeItem>
      <ddeItem name="@CTA[8-2-6-3-3-3381,J,8,#6]" advise="1">
        <values>
          <value t="nil">
            <val>1</val>
          </value>
        </values>
      </ddeItem>
      <ddeItem name="@CTA[8-2-6-3-3-3381,J,9,#6]" advise="1">
        <values>
          <value t="nil">
            <val>1</val>
          </value>
        </values>
      </ddeItem>
      <ddeItem name="@CTA[8-2-6-3-3-3391,J,1,#6]" advise="1">
        <values>
          <value>
            <val>0</val>
          </value>
        </values>
      </ddeItem>
      <ddeItem name="@CTA[8-2-6-3-3-3391,J,2,#6]" advise="1">
        <values>
          <value t="nil">
            <val>1</val>
          </value>
        </values>
      </ddeItem>
      <ddeItem name="@CTA[8-2-6-3-3-3391,J,3,#6]" advise="1">
        <values>
          <value t="nil">
            <val>1</val>
          </value>
        </values>
      </ddeItem>
      <ddeItem name="@CTA[8-2-6-3-3-3391,J,4,#6]" advise="1">
        <values>
          <value t="nil">
            <val>1</val>
          </value>
        </values>
      </ddeItem>
      <ddeItem name="@CTA[8-2-6-3-3-3391,J,5,#6]" advise="1">
        <values>
          <value t="nil">
            <val>1</val>
          </value>
        </values>
      </ddeItem>
      <ddeItem name="@CTA[8-2-6-3-3-3391,J,6,#6]" advise="1">
        <values>
          <value t="nil">
            <val>1</val>
          </value>
        </values>
      </ddeItem>
      <ddeItem name="@CTA[8-2-6-3-3-3391,J,7,#6]" advise="1">
        <values>
          <value>
            <val>91494</val>
          </value>
        </values>
      </ddeItem>
      <ddeItem name="@CTA[8-2-6-3-3-3391,J,8,#6]" advise="1">
        <values>
          <value t="nil">
            <val>1</val>
          </value>
        </values>
      </ddeItem>
      <ddeItem name="@CTA[8-2-6-3-3-3391,J,9,#6]" advise="1">
        <values>
          <value t="nil">
            <val>1</val>
          </value>
        </values>
      </ddeItem>
      <ddeItem name="@CTA[8-2-6-3-4-3411,J,1,#6]" advise="1">
        <values>
          <value>
            <val>0</val>
          </value>
        </values>
      </ddeItem>
      <ddeItem name="@CTA[8-2-6-3-4-3411,J,2,#6]" advise="1">
        <values>
          <value t="nil">
            <val>1</val>
          </value>
        </values>
      </ddeItem>
      <ddeItem name="@CTA[8-2-6-3-4-3411,J,3,#6]" advise="1">
        <values>
          <value t="nil">
            <val>1</val>
          </value>
        </values>
      </ddeItem>
      <ddeItem name="@CTA[8-2-6-3-4-3411,J,4,#6]" advise="1">
        <values>
          <value>
            <val>13354.240000000002</val>
          </value>
        </values>
      </ddeItem>
      <ddeItem name="@CTA[8-2-6-3-4-3411,J,5,#6]" advise="1">
        <values>
          <value t="nil">
            <val>1</val>
          </value>
        </values>
      </ddeItem>
      <ddeItem name="@CTA[8-2-6-3-4-3411,J,6,#6]" advise="1">
        <values>
          <value t="nil">
            <val>1</val>
          </value>
        </values>
      </ddeItem>
      <ddeItem name="@CTA[8-2-6-3-4-3411,J,7,#6]" advise="1">
        <values>
          <value t="nil">
            <val>1</val>
          </value>
        </values>
      </ddeItem>
      <ddeItem name="@CTA[8-2-6-3-4-3411,J,8,#6]" advise="1">
        <values>
          <value t="nil">
            <val>1</val>
          </value>
        </values>
      </ddeItem>
      <ddeItem name="@CTA[8-2-6-3-4-3411,J,9,#6]" advise="1">
        <values>
          <value t="nil">
            <val>1</val>
          </value>
        </values>
      </ddeItem>
      <ddeItem name="@CTA[8-2-6-3-4-3431,J,1,#6]" advise="1">
        <values>
          <value t="nil">
            <val>1</val>
          </value>
        </values>
      </ddeItem>
      <ddeItem name="@CTA[8-2-6-3-4-3431,J,2,#6]" advise="1">
        <values>
          <value t="nil">
            <val>1</val>
          </value>
        </values>
      </ddeItem>
      <ddeItem name="@CTA[8-2-6-3-4-3431,J,3,#6]" advise="1">
        <values>
          <value t="nil">
            <val>1</val>
          </value>
        </values>
      </ddeItem>
      <ddeItem name="@CTA[8-2-6-3-4-3431,J,4,#6]" advise="1">
        <values>
          <value>
            <val>49617.99</val>
          </value>
        </values>
      </ddeItem>
      <ddeItem name="@CTA[8-2-6-3-4-3431,J,5,#6]" advise="1">
        <values>
          <value t="nil">
            <val>1</val>
          </value>
        </values>
      </ddeItem>
      <ddeItem name="@CTA[8-2-6-3-4-3431,J,6,#6]" advise="1">
        <values>
          <value t="nil">
            <val>1</val>
          </value>
        </values>
      </ddeItem>
      <ddeItem name="@CTA[8-2-6-3-4-3431,J,7,#6]" advise="1">
        <values>
          <value t="nil">
            <val>1</val>
          </value>
        </values>
      </ddeItem>
      <ddeItem name="@CTA[8-2-6-3-4-3431,J,8,#6]" advise="1">
        <values>
          <value t="nil">
            <val>1</val>
          </value>
        </values>
      </ddeItem>
      <ddeItem name="@CTA[8-2-6-3-4-3431,J,9,#6]" advise="1">
        <values>
          <value t="nil">
            <val>1</val>
          </value>
        </values>
      </ddeItem>
      <ddeItem name="@CTA[8-2-6-3-4-3451,J,1,#6]" advise="1">
        <values>
          <value>
            <val>24215.22</val>
          </value>
        </values>
      </ddeItem>
      <ddeItem name="@CTA[8-2-6-3-4-3451,J,2,#6]" advise="1">
        <values>
          <value>
            <val>1166.1299999999999</val>
          </value>
        </values>
      </ddeItem>
      <ddeItem name="@CTA[8-2-6-3-4-3451,J,3,#6]" advise="1">
        <values>
          <value>
            <val>451.29</val>
          </value>
        </values>
      </ddeItem>
      <ddeItem name="@CTA[8-2-6-3-4-3451,J,4,#6]" advise="1">
        <values>
          <value>
            <val>210.60000000000002</val>
          </value>
        </values>
      </ddeItem>
      <ddeItem name="@CTA[8-2-6-3-4-3451,J,5,#6]" advise="1">
        <values>
          <value>
            <val>4044.99</val>
          </value>
        </values>
      </ddeItem>
      <ddeItem name="@CTA[8-2-6-3-4-3451,J,6,#6]" advise="1">
        <values>
          <value>
            <val>60.179999999999993</val>
          </value>
        </values>
      </ddeItem>
      <ddeItem name="@CTA[8-2-6-3-4-3451,J,7,#6]" advise="1">
        <values>
          <value>
            <val>9076.7100000000009</val>
          </value>
        </values>
      </ddeItem>
      <ddeItem name="@CTA[8-2-6-3-4-3451,J,8,#6]" advise="1">
        <values>
          <value>
            <val>1143.4499999999998</val>
          </value>
        </values>
      </ddeItem>
      <ddeItem name="@CTA[8-2-6-3-4-3451,J,9,#6]" advise="1">
        <values>
          <value>
            <val>60.179999999999993</val>
          </value>
        </values>
      </ddeItem>
      <ddeItem name="@CTA[8-2-6-3-4-3471,J,1,#6]" advise="1">
        <values>
          <value>
            <val>0</val>
          </value>
        </values>
      </ddeItem>
      <ddeItem name="@CTA[8-2-6-3-4-3471,J,2,#6]" advise="1">
        <values>
          <value>
            <val>13.79</val>
          </value>
        </values>
      </ddeItem>
      <ddeItem name="@CTA[8-2-6-3-4-3471,J,3,#6]" advise="1">
        <values>
          <value>
            <val>0</val>
          </value>
        </values>
      </ddeItem>
      <ddeItem name="@CTA[8-2-6-3-4-3471,J,4,#6]" advise="1">
        <values>
          <value>
            <val>0</val>
          </value>
        </values>
      </ddeItem>
      <ddeItem name="@CTA[8-2-6-3-4-3471,J,5,#6]" advise="1">
        <values>
          <value>
            <val>0</val>
          </value>
        </values>
      </ddeItem>
      <ddeItem name="@CTA[8-2-6-3-4-3471,J,6,#6]" advise="1">
        <values>
          <value>
            <val>467.73</val>
          </value>
        </values>
      </ddeItem>
      <ddeItem name="@CTA[8-2-6-3-4-3471,J,7,#6]" advise="1">
        <values>
          <value>
            <val>0</val>
          </value>
        </values>
      </ddeItem>
      <ddeItem name="@CTA[8-2-6-3-4-3471,J,8,#6]" advise="1">
        <values>
          <value>
            <val>275.14999999999998</val>
          </value>
        </values>
      </ddeItem>
      <ddeItem name="@CTA[8-2-6-3-4-3471,J,9,#6]" advise="1">
        <values>
          <value>
            <val>0</val>
          </value>
        </values>
      </ddeItem>
      <ddeItem name="@CTA[8-2-6-3-4-3491,J,1,#6]" advise="1">
        <values>
          <value>
            <val>1700.79</val>
          </value>
        </values>
      </ddeItem>
      <ddeItem name="@CTA[8-2-6-3-4-3491,J,2,#6]" advise="1">
        <values>
          <value>
            <val>319.26</val>
          </value>
        </values>
      </ddeItem>
      <ddeItem name="@CTA[8-2-6-3-4-3491,J,3,#6]" advise="1">
        <values>
          <value>
            <val>568.73</val>
          </value>
        </values>
      </ddeItem>
      <ddeItem name="@CTA[8-2-6-3-4-3491,J,4,#6]" advise="1">
        <values>
          <value>
            <val>420.54</val>
          </value>
        </values>
      </ddeItem>
      <ddeItem name="@CTA[8-2-6-3-4-3491,J,5,#6]" advise="1">
        <values>
          <value>
            <val>559.54</val>
          </value>
        </values>
      </ddeItem>
      <ddeItem name="@CTA[8-2-6-3-4-3491,J,6,#6]" advise="1">
        <values>
          <value>
            <val>166.23</val>
          </value>
        </values>
      </ddeItem>
      <ddeItem name="@CTA[8-2-6-3-4-3491,J,7,#6]" advise="1">
        <values>
          <value>
            <val>511.49</val>
          </value>
        </values>
      </ddeItem>
      <ddeItem name="@CTA[8-2-6-3-4-3491,J,8,#6]" advise="1">
        <values>
          <value>
            <val>151.02000000000001</val>
          </value>
        </values>
      </ddeItem>
      <ddeItem name="@CTA[8-2-6-3-4-3491,J,9,#6]" advise="1">
        <values>
          <value>
            <val>343.64</val>
          </value>
        </values>
      </ddeItem>
      <ddeItem name="@CTA[8-2-6-3-5-3511,J,1,#6]" advise="1">
        <values>
          <value>
            <val>0</val>
          </value>
        </values>
      </ddeItem>
      <ddeItem name="@CTA[8-2-6-3-5-3511,J,2,#6]" advise="1">
        <values>
          <value>
            <val>0</val>
          </value>
        </values>
      </ddeItem>
      <ddeItem name="@CTA[8-2-6-3-5-3511,J,3,#6]" advise="1">
        <values>
          <value>
            <val>0</val>
          </value>
        </values>
      </ddeItem>
      <ddeItem name="@CTA[8-2-6-3-5-3511,J,4,#6]" advise="1">
        <values>
          <value>
            <val>0</val>
          </value>
        </values>
      </ddeItem>
      <ddeItem name="@CTA[8-2-6-3-5-3511,J,5,#6]" advise="1">
        <values>
          <value>
            <val>0</val>
          </value>
        </values>
      </ddeItem>
      <ddeItem name="@CTA[8-2-6-3-5-3511,J,6,#6]" advise="1">
        <values>
          <value t="nil">
            <val>1</val>
          </value>
        </values>
      </ddeItem>
      <ddeItem name="@CTA[8-2-6-3-5-3511,J,7,#6]" advise="1">
        <values>
          <value>
            <val>0</val>
          </value>
        </values>
      </ddeItem>
      <ddeItem name="@CTA[8-2-6-3-5-3511,J,8,#6]" advise="1">
        <values>
          <value t="nil">
            <val>1</val>
          </value>
        </values>
      </ddeItem>
      <ddeItem name="@CTA[8-2-6-3-5-3511,J,9,#6]" advise="1">
        <values>
          <value t="nil">
            <val>1</val>
          </value>
        </values>
      </ddeItem>
      <ddeItem name="@CTA[8-2-6-3-5-3521,J,1,#6]" advise="1">
        <values>
          <value t="nil">
            <val>1</val>
          </value>
        </values>
      </ddeItem>
      <ddeItem name="@CTA[8-2-6-3-5-3521,J,2,#6]" advise="1">
        <values>
          <value t="nil">
            <val>1</val>
          </value>
        </values>
      </ddeItem>
      <ddeItem name="@CTA[8-2-6-3-5-3521,J,3,#6]" advise="1">
        <values>
          <value t="nil">
            <val>1</val>
          </value>
        </values>
      </ddeItem>
      <ddeItem name="@CTA[8-2-6-3-5-3521,J,4,#6]" advise="1">
        <values>
          <value t="nil">
            <val>1</val>
          </value>
        </values>
      </ddeItem>
      <ddeItem name="@CTA[8-2-6-3-5-3521,J,5,#6]" advise="1">
        <values>
          <value t="nil">
            <val>1</val>
          </value>
        </values>
      </ddeItem>
      <ddeItem name="@CTA[8-2-6-3-5-3521,J,6,#6]" advise="1">
        <values>
          <value t="nil">
            <val>1</val>
          </value>
        </values>
      </ddeItem>
      <ddeItem name="@CTA[8-2-6-3-5-3521,J,7,#6]" advise="1">
        <values>
          <value t="nil">
            <val>1</val>
          </value>
        </values>
      </ddeItem>
      <ddeItem name="@CTA[8-2-6-3-5-3521,J,8,#6]" advise="1">
        <values>
          <value t="nil">
            <val>1</val>
          </value>
        </values>
      </ddeItem>
      <ddeItem name="@CTA[8-2-6-3-5-3521,J,9,#6]" advise="1">
        <values>
          <value t="nil">
            <val>1</val>
          </value>
        </values>
      </ddeItem>
      <ddeItem name="@CTA[8-2-6-3-5-3531,J,1,#6]" advise="1">
        <values>
          <value t="nil">
            <val>1</val>
          </value>
        </values>
      </ddeItem>
      <ddeItem name="@CTA[8-2-6-3-5-3531,J,2,#6]" advise="1">
        <values>
          <value t="nil">
            <val>1</val>
          </value>
        </values>
      </ddeItem>
      <ddeItem name="@CTA[8-2-6-3-5-3531,J,3,#6]" advise="1">
        <values>
          <value t="nil">
            <val>1</val>
          </value>
        </values>
      </ddeItem>
      <ddeItem name="@CTA[8-2-6-3-5-3531,J,4,#6]" advise="1">
        <values>
          <value t="nil">
            <val>1</val>
          </value>
        </values>
      </ddeItem>
      <ddeItem name="@CTA[8-2-6-3-5-3531,J,5,#6]" advise="1">
        <values>
          <value>
            <val>0</val>
          </value>
        </values>
      </ddeItem>
      <ddeItem name="@CTA[8-2-6-3-5-3531,J,6,#6]" advise="1">
        <values>
          <value>
            <val>0</val>
          </value>
        </values>
      </ddeItem>
      <ddeItem name="@CTA[8-2-6-3-5-3531,J,7,#6]" advise="1">
        <values>
          <value t="nil">
            <val>1</val>
          </value>
        </values>
      </ddeItem>
      <ddeItem name="@CTA[8-2-6-3-5-3531,J,8,#6]" advise="1">
        <values>
          <value t="nil">
            <val>1</val>
          </value>
        </values>
      </ddeItem>
      <ddeItem name="@CTA[8-2-6-3-5-3531,J,9,#6]" advise="1">
        <values>
          <value t="nil">
            <val>1</val>
          </value>
        </values>
      </ddeItem>
      <ddeItem name="@CTA[8-2-6-3-5-3551,J,1,#6]" advise="1">
        <values>
          <value>
            <val>59101.53</val>
          </value>
        </values>
      </ddeItem>
      <ddeItem name="@CTA[8-2-6-3-5-3551,J,2,#6]" advise="1">
        <values>
          <value>
            <val>979.31999999999994</val>
          </value>
        </values>
      </ddeItem>
      <ddeItem name="@CTA[8-2-6-3-5-3551,J,3,#6]" advise="1">
        <values>
          <value t="nil">
            <val>1</val>
          </value>
        </values>
      </ddeItem>
      <ddeItem name="@CTA[8-2-6-3-5-3551,J,4,#6]" advise="1">
        <values>
          <value>
            <val>0</val>
          </value>
        </values>
      </ddeItem>
      <ddeItem name="@CTA[8-2-6-3-5-3551,J,5,#6]" advise="1">
        <values>
          <value>
            <val>59.05</val>
          </value>
        </values>
      </ddeItem>
      <ddeItem name="@CTA[8-2-6-3-5-3551,J,6,#6]" advise="1">
        <values>
          <value t="nil">
            <val>1</val>
          </value>
        </values>
      </ddeItem>
      <ddeItem name="@CTA[8-2-6-3-5-3551,J,7,#6]" advise="1">
        <values>
          <value>
            <val>5828.78</val>
          </value>
        </values>
      </ddeItem>
      <ddeItem name="@CTA[8-2-6-3-5-3551,J,8,#6]" advise="1">
        <values>
          <value>
            <val>9312.07</val>
          </value>
        </values>
      </ddeItem>
      <ddeItem name="@CTA[8-2-6-3-5-3551,J,9,#6]" advise="1">
        <values>
          <value>
            <val>1863.62</val>
          </value>
        </values>
      </ddeItem>
      <ddeItem name="@CTA[8-2-6-3-5-3571,J,1,#6]" advise="1">
        <values>
          <value>
            <val>580347.06000000006</val>
          </value>
        </values>
      </ddeItem>
      <ddeItem name="@CTA[8-2-6-3-5-3571,J,2,#6]" advise="1">
        <values>
          <value>
            <val>0</val>
          </value>
        </values>
      </ddeItem>
      <ddeItem name="@CTA[8-2-6-3-5-3571,J,3,#6]" advise="1">
        <values>
          <value>
            <val>0</val>
          </value>
        </values>
      </ddeItem>
      <ddeItem name="@CTA[8-2-6-3-5-3571,J,4,#6]" advise="1">
        <values>
          <value t="nil">
            <val>1</val>
          </value>
        </values>
      </ddeItem>
      <ddeItem name="@CTA[8-2-6-3-5-3571,J,5,#6]" advise="1">
        <values>
          <value>
            <val>0</val>
          </value>
        </values>
      </ddeItem>
      <ddeItem name="@CTA[8-2-6-3-5-3571,J,6,#6]" advise="1">
        <values>
          <value>
            <val>0</val>
          </value>
        </values>
      </ddeItem>
      <ddeItem name="@CTA[8-2-6-3-5-3571,J,7,#6]" advise="1">
        <values>
          <value>
            <val>0</val>
          </value>
        </values>
      </ddeItem>
      <ddeItem name="@CTA[8-2-6-3-5-3571,J,8,#6]" advise="1">
        <values>
          <value>
            <val>0</val>
          </value>
        </values>
      </ddeItem>
      <ddeItem name="@CTA[8-2-6-3-5-3571,J,9,#6]" advise="1">
        <values>
          <value t="nil">
            <val>1</val>
          </value>
        </values>
      </ddeItem>
      <ddeItem name="@CTA[8-2-6-3-5-3572,J,1,#6]" advise="1">
        <values>
          <value t="nil">
            <val>1</val>
          </value>
        </values>
      </ddeItem>
      <ddeItem name="@CTA[8-2-6-3-5-3572,J,2,#6]" advise="1">
        <values>
          <value t="nil">
            <val>1</val>
          </value>
        </values>
      </ddeItem>
      <ddeItem name="@CTA[8-2-6-3-5-3572,J,3,#6]" advise="1">
        <values>
          <value t="nil">
            <val>1</val>
          </value>
        </values>
      </ddeItem>
      <ddeItem name="@CTA[8-2-6-3-5-3572,J,4,#6]" advise="1">
        <values>
          <value t="nil">
            <val>1</val>
          </value>
        </values>
      </ddeItem>
      <ddeItem name="@CTA[8-2-6-3-5-3572,J,5,#6]" advise="1">
        <values>
          <value t="nil">
            <val>1</val>
          </value>
        </values>
      </ddeItem>
      <ddeItem name="@CTA[8-2-6-3-5-3572,J,6,#6]" advise="1">
        <values>
          <value t="nil">
            <val>1</val>
          </value>
        </values>
      </ddeItem>
      <ddeItem name="@CTA[8-2-6-3-5-3572,J,7,#6]" advise="1">
        <values>
          <value>
            <val>42400</val>
          </value>
        </values>
      </ddeItem>
      <ddeItem name="@CTA[8-2-6-3-5-3572,J,8,#6]" advise="1">
        <values>
          <value t="nil">
            <val>1</val>
          </value>
        </values>
      </ddeItem>
      <ddeItem name="@CTA[8-2-6-3-5-3572,J,9,#6]" advise="1">
        <values>
          <value t="nil">
            <val>1</val>
          </value>
        </values>
      </ddeItem>
      <ddeItem name="@CTA[8-2-6-3-5-3573,J,1,#6]" advise="1">
        <values>
          <value t="nil">
            <val>1</val>
          </value>
        </values>
      </ddeItem>
      <ddeItem name="@CTA[8-2-6-3-5-3573,J,2,#6]" advise="1">
        <values>
          <value t="nil">
            <val>1</val>
          </value>
        </values>
      </ddeItem>
      <ddeItem name="@CTA[8-2-6-3-5-3573,J,3,#6]" advise="1">
        <values>
          <value t="nil">
            <val>1</val>
          </value>
        </values>
      </ddeItem>
      <ddeItem name="@CTA[8-2-6-3-5-3573,J,4,#6]" advise="1">
        <values>
          <value>
            <val>0</val>
          </value>
        </values>
      </ddeItem>
      <ddeItem name="@CTA[8-2-6-3-5-3573,J,5,#6]" advise="1">
        <values>
          <value t="nil">
            <val>1</val>
          </value>
        </values>
      </ddeItem>
      <ddeItem name="@CTA[8-2-6-3-5-3573,J,6,#6]" advise="1">
        <values>
          <value t="nil">
            <val>1</val>
          </value>
        </values>
      </ddeItem>
      <ddeItem name="@CTA[8-2-6-3-5-3573,J,7,#6]" advise="1">
        <values>
          <value>
            <val>165913.41</val>
          </value>
        </values>
      </ddeItem>
      <ddeItem name="@CTA[8-2-6-3-5-3573,J,8,#6]" advise="1">
        <values>
          <value t="nil">
            <val>1</val>
          </value>
        </values>
      </ddeItem>
      <ddeItem name="@CTA[8-2-6-3-5-3573,J,9,#6]" advise="1">
        <values>
          <value t="nil">
            <val>1</val>
          </value>
        </values>
      </ddeItem>
      <ddeItem name="@CTA[8-2-6-3-5-3574,J,1,#6]" advise="1">
        <values>
          <value t="nil">
            <val>1</val>
          </value>
        </values>
      </ddeItem>
      <ddeItem name="@CTA[8-2-6-3-5-3574,J,2,#6]" advise="1">
        <values>
          <value t="nil">
            <val>1</val>
          </value>
        </values>
      </ddeItem>
      <ddeItem name="@CTA[8-2-6-3-5-3574,J,3,#6]" advise="1">
        <values>
          <value t="nil">
            <val>1</val>
          </value>
        </values>
      </ddeItem>
      <ddeItem name="@CTA[8-2-6-3-5-3574,J,4,#6]" advise="1">
        <values>
          <value t="nil">
            <val>1</val>
          </value>
        </values>
      </ddeItem>
      <ddeItem name="@CTA[8-2-6-3-5-3574,J,5,#6]" advise="1">
        <values>
          <value t="nil">
            <val>1</val>
          </value>
        </values>
      </ddeItem>
      <ddeItem name="@CTA[8-2-6-3-5-3574,J,6,#6]" advise="1">
        <values>
          <value t="nil">
            <val>1</val>
          </value>
        </values>
      </ddeItem>
      <ddeItem name="@CTA[8-2-6-3-5-3574,J,7,#6]" advise="1">
        <values>
          <value>
            <val>45900</val>
          </value>
        </values>
      </ddeItem>
      <ddeItem name="@CTA[8-2-6-3-5-3574,J,8,#6]" advise="1">
        <values>
          <value t="nil">
            <val>1</val>
          </value>
        </values>
      </ddeItem>
      <ddeItem name="@CTA[8-2-6-3-5-3574,J,9,#6]" advise="1">
        <values>
          <value t="nil">
            <val>1</val>
          </value>
        </values>
      </ddeItem>
      <ddeItem name="@CTA[8-2-6-3-5-3575,J,1,#6]" advise="1">
        <values>
          <value t="nil">
            <val>1</val>
          </value>
        </values>
      </ddeItem>
      <ddeItem name="@CTA[8-2-6-3-5-3575,J,2,#6]" advise="1">
        <values>
          <value t="nil">
            <val>1</val>
          </value>
        </values>
      </ddeItem>
      <ddeItem name="@CTA[8-2-6-3-5-3575,J,3,#6]" advise="1">
        <values>
          <value t="nil">
            <val>1</val>
          </value>
        </values>
      </ddeItem>
      <ddeItem name="@CTA[8-2-6-3-5-3575,J,4,#6]" advise="1">
        <values>
          <value t="nil">
            <val>1</val>
          </value>
        </values>
      </ddeItem>
      <ddeItem name="@CTA[8-2-6-3-5-3575,J,5,#6]" advise="1">
        <values>
          <value t="nil">
            <val>1</val>
          </value>
        </values>
      </ddeItem>
      <ddeItem name="@CTA[8-2-6-3-5-3575,J,6,#6]" advise="1">
        <values>
          <value t="nil">
            <val>1</val>
          </value>
        </values>
      </ddeItem>
      <ddeItem name="@CTA[8-2-6-3-5-3575,J,7,#6]" advise="1">
        <values>
          <value>
            <val>55015</val>
          </value>
        </values>
      </ddeItem>
      <ddeItem name="@CTA[8-2-6-3-5-3575,J,8,#6]" advise="1">
        <values>
          <value t="nil">
            <val>1</val>
          </value>
        </values>
      </ddeItem>
      <ddeItem name="@CTA[8-2-6-3-5-3575,J,9,#6]" advise="1">
        <values>
          <value t="nil">
            <val>1</val>
          </value>
        </values>
      </ddeItem>
      <ddeItem name="@CTA[8-2-6-3-5-3576,J,1,#6]" advise="1">
        <values>
          <value t="nil">
            <val>1</val>
          </value>
        </values>
      </ddeItem>
      <ddeItem name="@CTA[8-2-6-3-5-3576,J,2,#6]" advise="1">
        <values>
          <value t="nil">
            <val>1</val>
          </value>
        </values>
      </ddeItem>
      <ddeItem name="@CTA[8-2-6-3-5-3576,J,3,#6]" advise="1">
        <values>
          <value t="nil">
            <val>1</val>
          </value>
        </values>
      </ddeItem>
      <ddeItem name="@CTA[8-2-6-3-5-3576,J,4,#6]" advise="1">
        <values>
          <value t="nil">
            <val>1</val>
          </value>
        </values>
      </ddeItem>
      <ddeItem name="@CTA[8-2-6-3-5-3576,J,5,#6]" advise="1">
        <values>
          <value t="nil">
            <val>1</val>
          </value>
        </values>
      </ddeItem>
      <ddeItem name="@CTA[8-2-6-3-5-3576,J,6,#6]" advise="1">
        <values>
          <value t="nil">
            <val>1</val>
          </value>
        </values>
      </ddeItem>
      <ddeItem name="@CTA[8-2-6-3-5-3576,J,7,#6]" advise="1">
        <values>
          <value>
            <val>8613.0499999999993</val>
          </value>
        </values>
      </ddeItem>
      <ddeItem name="@CTA[8-2-6-3-5-3576,J,8,#6]" advise="1">
        <values>
          <value t="nil">
            <val>1</val>
          </value>
        </values>
      </ddeItem>
      <ddeItem name="@CTA[8-2-6-3-5-3576,J,9,#6]" advise="1">
        <values>
          <value t="nil">
            <val>1</val>
          </value>
        </values>
      </ddeItem>
      <ddeItem name="@CTA[8-2-6-3-5-3577,J,1,#6]" advise="1">
        <values>
          <value t="nil">
            <val>1</val>
          </value>
        </values>
      </ddeItem>
      <ddeItem name="@CTA[8-2-6-3-5-3577,J,2,#6]" advise="1">
        <values>
          <value t="nil">
            <val>1</val>
          </value>
        </values>
      </ddeItem>
      <ddeItem name="@CTA[8-2-6-3-5-3577,J,3,#6]" advise="1">
        <values>
          <value t="nil">
            <val>1</val>
          </value>
        </values>
      </ddeItem>
      <ddeItem name="@CTA[8-2-6-3-5-3577,J,4,#6]" advise="1">
        <values>
          <value t="nil">
            <val>1</val>
          </value>
        </values>
      </ddeItem>
      <ddeItem name="@CTA[8-2-6-3-5-3577,J,5,#6]" advise="1">
        <values>
          <value t="nil">
            <val>1</val>
          </value>
        </values>
      </ddeItem>
      <ddeItem name="@CTA[8-2-6-3-5-3577,J,6,#6]" advise="1">
        <values>
          <value t="nil">
            <val>1</val>
          </value>
        </values>
      </ddeItem>
      <ddeItem name="@CTA[8-2-6-3-5-3577,J,7,#6]" advise="1">
        <values>
          <value>
            <val>0</val>
          </value>
        </values>
      </ddeItem>
      <ddeItem name="@CTA[8-2-6-3-5-3577,J,8,#6]" advise="1">
        <values>
          <value t="nil">
            <val>1</val>
          </value>
        </values>
      </ddeItem>
      <ddeItem name="@CTA[8-2-6-3-5-3577,J,9,#6]" advise="1">
        <values>
          <value t="nil">
            <val>1</val>
          </value>
        </values>
      </ddeItem>
      <ddeItem name="@CTA[8-2-6-3-6-3611,J,1,#6]" advise="1">
        <values>
          <value t="nil">
            <val>1</val>
          </value>
        </values>
      </ddeItem>
      <ddeItem name="@CTA[8-2-6-3-6-3611,J,2,#6]" advise="1">
        <values>
          <value>
            <val>0</val>
          </value>
        </values>
      </ddeItem>
      <ddeItem name="@CTA[8-2-6-3-6-3611,J,3,#6]" advise="1">
        <values>
          <value>
            <val>0</val>
          </value>
        </values>
      </ddeItem>
      <ddeItem name="@CTA[8-2-6-3-6-3611,J,4,#6]" advise="1">
        <values>
          <value t="nil">
            <val>1</val>
          </value>
        </values>
      </ddeItem>
      <ddeItem name="@CTA[8-2-6-3-6-3611,J,5,#6]" advise="1">
        <values>
          <value>
            <val>0</val>
          </value>
        </values>
      </ddeItem>
      <ddeItem name="@CTA[8-2-6-3-6-3611,J,6,#6]" advise="1">
        <values>
          <value t="nil">
            <val>1</val>
          </value>
        </values>
      </ddeItem>
      <ddeItem name="@CTA[8-2-6-3-6-3611,J,7,#6]" advise="1">
        <values>
          <value>
            <val>0</val>
          </value>
        </values>
      </ddeItem>
      <ddeItem name="@CTA[8-2-6-3-6-3611,J,8,#6]" advise="1">
        <values>
          <value>
            <val>15259.35</val>
          </value>
        </values>
      </ddeItem>
      <ddeItem name="@CTA[8-2-6-3-6-3611,J,9,#6]" advise="1">
        <values>
          <value t="nil">
            <val>1</val>
          </value>
        </values>
      </ddeItem>
      <ddeItem name="@CTA[8-2-6-3-7-3721,J,1,#6]" advise="1">
        <values>
          <value>
            <val>0</val>
          </value>
        </values>
      </ddeItem>
      <ddeItem name="@CTA[8-2-6-3-7-3721,J,2,#6]" advise="1">
        <values>
          <value>
            <val>0</val>
          </value>
        </values>
      </ddeItem>
      <ddeItem name="@CTA[8-2-6-3-7-3721,J,3,#6]" advise="1">
        <values>
          <value>
            <val>0</val>
          </value>
        </values>
      </ddeItem>
      <ddeItem name="@CTA[8-2-6-3-7-3721,J,4,#6]" advise="1">
        <values>
          <value>
            <val>0</val>
          </value>
        </values>
      </ddeItem>
      <ddeItem name="@CTA[8-2-6-3-7-3721,J,5,#6]" advise="1">
        <values>
          <value>
            <val>0</val>
          </value>
        </values>
      </ddeItem>
      <ddeItem name="@CTA[8-2-6-3-7-3721,J,6,#6]" advise="1">
        <values>
          <value>
            <val>0</val>
          </value>
        </values>
      </ddeItem>
      <ddeItem name="@CTA[8-2-6-3-7-3721,J,7,#6]" advise="1">
        <values>
          <value>
            <val>0</val>
          </value>
        </values>
      </ddeItem>
      <ddeItem name="@CTA[8-2-6-3-7-3721,J,8,#6]" advise="1">
        <values>
          <value>
            <val>0</val>
          </value>
        </values>
      </ddeItem>
      <ddeItem name="@CTA[8-2-6-3-7-3721,J,9,#6]" advise="1">
        <values>
          <value>
            <val>0</val>
          </value>
        </values>
      </ddeItem>
      <ddeItem name="@CTA[8-2-6-3-7-3722,J,1,#6]" advise="1">
        <values>
          <value t="nil">
            <val>1</val>
          </value>
        </values>
      </ddeItem>
      <ddeItem name="@CTA[8-2-6-3-7-3722,J,2,#6]" advise="1">
        <values>
          <value t="nil">
            <val>1</val>
          </value>
        </values>
      </ddeItem>
      <ddeItem name="@CTA[8-2-6-3-7-3722,J,3,#6]" advise="1">
        <values>
          <value t="nil">
            <val>1</val>
          </value>
        </values>
      </ddeItem>
      <ddeItem name="@CTA[8-2-6-3-7-3722,J,4,#6]" advise="1">
        <values>
          <value t="nil">
            <val>1</val>
          </value>
        </values>
      </ddeItem>
      <ddeItem name="@CTA[8-2-6-3-7-3722,J,5,#6]" advise="1">
        <values>
          <value t="nil">
            <val>1</val>
          </value>
        </values>
      </ddeItem>
      <ddeItem name="@CTA[8-2-6-3-7-3722,J,6,#6]" advise="1">
        <values>
          <value t="nil">
            <val>1</val>
          </value>
        </values>
      </ddeItem>
      <ddeItem name="@CTA[8-2-6-3-7-3722,J,7,#6]" advise="1">
        <values>
          <value t="nil">
            <val>1</val>
          </value>
        </values>
      </ddeItem>
      <ddeItem name="@CTA[8-2-6-3-7-3722,J,8,#6]" advise="1">
        <values>
          <value t="nil">
            <val>1</val>
          </value>
        </values>
      </ddeItem>
      <ddeItem name="@CTA[8-2-6-3-7-3722,J,9,#6]" advise="1">
        <values>
          <value t="nil">
            <val>1</val>
          </value>
        </values>
      </ddeItem>
      <ddeItem name="@CTA[8-2-6-3-7-3751,J,1,#6]" advise="1">
        <values>
          <value>
            <val>0</val>
          </value>
        </values>
      </ddeItem>
      <ddeItem name="@CTA[8-2-6-3-7-3751,J,2,#6]" advise="1">
        <values>
          <value>
            <val>644.55000000000007</val>
          </value>
        </values>
      </ddeItem>
      <ddeItem name="@CTA[8-2-6-3-7-3751,J,3,#6]" advise="1">
        <values>
          <value>
            <val>0</val>
          </value>
        </values>
      </ddeItem>
      <ddeItem name="@CTA[8-2-6-3-7-3751,J,4,#6]" advise="1">
        <values>
          <value>
            <val>0</val>
          </value>
        </values>
      </ddeItem>
      <ddeItem name="@CTA[8-2-6-3-7-3751,J,5,#6]" advise="1">
        <values>
          <value>
            <val>0</val>
          </value>
        </values>
      </ddeItem>
      <ddeItem name="@CTA[8-2-6-3-7-3751,J,6,#6]" advise="1">
        <values>
          <value>
            <val>0</val>
          </value>
        </values>
      </ddeItem>
      <ddeItem name="@CTA[8-2-6-3-7-3751,J,7,#6]" advise="1">
        <values>
          <value>
            <val>591.4</val>
          </value>
        </values>
      </ddeItem>
      <ddeItem name="@CTA[8-2-6-3-7-3751,J,8,#6]" advise="1">
        <values>
          <value>
            <val>0</val>
          </value>
        </values>
      </ddeItem>
      <ddeItem name="@CTA[8-2-6-3-7-3751,J,9,#6]" advise="1">
        <values>
          <value>
            <val>367.41999999999996</val>
          </value>
        </values>
      </ddeItem>
      <ddeItem name="@CTA[8-2-6-3-8-3821,J,1,#6]" advise="1">
        <values>
          <value>
            <val>0</val>
          </value>
        </values>
      </ddeItem>
      <ddeItem name="@CTA[8-2-6-3-8-3821,J,2,#6]" advise="1">
        <values>
          <value t="nil">
            <val>1</val>
          </value>
        </values>
      </ddeItem>
      <ddeItem name="@CTA[8-2-6-3-8-3821,J,3,#6]" advise="1">
        <values>
          <value>
            <val>0</val>
          </value>
        </values>
      </ddeItem>
      <ddeItem name="@CTA[8-2-6-3-8-3821,J,4,#6]" advise="1">
        <values>
          <value t="nil">
            <val>1</val>
          </value>
        </values>
      </ddeItem>
      <ddeItem name="@CTA[8-2-6-3-8-3821,J,5,#6]" advise="1">
        <values>
          <value>
            <val>0</val>
          </value>
        </values>
      </ddeItem>
      <ddeItem name="@CTA[8-2-6-3-8-3821,J,6,#6]" advise="1">
        <values>
          <value t="nil">
            <val>1</val>
          </value>
        </values>
      </ddeItem>
      <ddeItem name="@CTA[8-2-6-3-8-3821,J,7,#6]" advise="1">
        <values>
          <value t="nil">
            <val>1</val>
          </value>
        </values>
      </ddeItem>
      <ddeItem name="@CTA[8-2-6-3-8-3821,J,8,#6]" advise="1">
        <values>
          <value>
            <val>25337.899999999998</val>
          </value>
        </values>
      </ddeItem>
      <ddeItem name="@CTA[8-2-6-3-8-3821,J,9,#6]" advise="1">
        <values>
          <value t="nil">
            <val>1</val>
          </value>
        </values>
      </ddeItem>
      <ddeItem name="@CTA[8-2-6-3-8-3822,J,1,#6]" advise="1">
        <values>
          <value>
            <val>0</val>
          </value>
        </values>
      </ddeItem>
      <ddeItem name="@CTA[8-2-6-3-8-3822,J,2,#6]" advise="1">
        <values>
          <value>
            <val>0</val>
          </value>
        </values>
      </ddeItem>
      <ddeItem name="@CTA[8-2-6-3-8-3822,J,3,#6]" advise="1">
        <values>
          <value t="nil">
            <val>1</val>
          </value>
        </values>
      </ddeItem>
      <ddeItem name="@CTA[8-2-6-3-8-3822,J,4,#6]" advise="1">
        <values>
          <value t="nil">
            <val>1</val>
          </value>
        </values>
      </ddeItem>
      <ddeItem name="@CTA[8-2-6-3-8-3822,J,5,#6]" advise="1">
        <values>
          <value>
            <val>0</val>
          </value>
        </values>
      </ddeItem>
      <ddeItem name="@CTA[8-2-6-3-8-3822,J,6,#6]" advise="1">
        <values>
          <value t="nil">
            <val>1</val>
          </value>
        </values>
      </ddeItem>
      <ddeItem name="@CTA[8-2-6-3-8-3822,J,7,#6]" advise="1">
        <values>
          <value>
            <val>0</val>
          </value>
        </values>
      </ddeItem>
      <ddeItem name="@CTA[8-2-6-3-8-3822,J,8,#6]" advise="1">
        <values>
          <value>
            <val>15263.460000000003</val>
          </value>
        </values>
      </ddeItem>
      <ddeItem name="@CTA[8-2-6-3-8-3822,J,9,#6]" advise="1">
        <values>
          <value t="nil">
            <val>1</val>
          </value>
        </values>
      </ddeItem>
      <ddeItem name="@CTA[8-2-6-3-8-3831,J,1,#6]" advise="1">
        <values>
          <value>
            <val>0</val>
          </value>
        </values>
      </ddeItem>
      <ddeItem name="@CTA[8-2-6-3-8-3831,J,2,#6]" advise="1">
        <values>
          <value t="nil">
            <val>1</val>
          </value>
        </values>
      </ddeItem>
      <ddeItem name="@CTA[8-2-6-3-8-3831,J,3,#6]" advise="1">
        <values>
          <value>
            <val>0</val>
          </value>
        </values>
      </ddeItem>
      <ddeItem name="@CTA[8-2-6-3-8-3831,J,4,#6]" advise="1">
        <values>
          <value t="nil">
            <val>1</val>
          </value>
        </values>
      </ddeItem>
      <ddeItem name="@CTA[8-2-6-3-8-3831,J,5,#6]" advise="1">
        <values>
          <value>
            <val>0</val>
          </value>
        </values>
      </ddeItem>
      <ddeItem name="@CTA[8-2-6-3-8-3831,J,6,#6]" advise="1">
        <values>
          <value t="nil">
            <val>1</val>
          </value>
        </values>
      </ddeItem>
      <ddeItem name="@CTA[8-2-6-3-8-3831,J,7,#6]" advise="1">
        <values>
          <value t="nil">
            <val>1</val>
          </value>
        </values>
      </ddeItem>
      <ddeItem name="@CTA[8-2-6-3-8-3831,J,8,#6]" advise="1">
        <values>
          <value>
            <val>0</val>
          </value>
        </values>
      </ddeItem>
      <ddeItem name="@CTA[8-2-6-3-8-3831,J,9,#6]" advise="1">
        <values>
          <value t="nil">
            <val>1</val>
          </value>
        </values>
      </ddeItem>
      <ddeItem name="@CTA[8-2-6-3-8-3851,J,1,#6]" advise="1">
        <values>
          <value t="nil">
            <val>1</val>
          </value>
        </values>
      </ddeItem>
      <ddeItem name="@CTA[8-2-6-3-8-3851,J,2,#6]" advise="1">
        <values>
          <value>
            <val>862.07</val>
          </value>
        </values>
      </ddeItem>
      <ddeItem name="@CTA[8-2-6-3-8-3851,J,3,#6]" advise="1">
        <values>
          <value t="nil">
            <val>1</val>
          </value>
        </values>
      </ddeItem>
      <ddeItem name="@CTA[8-2-6-3-8-3851,J,4,#6]" advise="1">
        <values>
          <value t="nil">
            <val>1</val>
          </value>
        </values>
      </ddeItem>
      <ddeItem name="@CTA[8-2-6-3-8-3851,J,5,#6]" advise="1">
        <values>
          <value t="nil">
            <val>1</val>
          </value>
        </values>
      </ddeItem>
      <ddeItem name="@CTA[8-2-6-3-8-3851,J,6,#6]" advise="1">
        <values>
          <value t="nil">
            <val>1</val>
          </value>
        </values>
      </ddeItem>
      <ddeItem name="@CTA[8-2-6-3-8-3851,J,7,#6]" advise="1">
        <values>
          <value t="nil">
            <val>1</val>
          </value>
        </values>
      </ddeItem>
      <ddeItem name="@CTA[8-2-6-3-8-3851,J,8,#6]" advise="1">
        <values>
          <value>
            <val>0</val>
          </value>
        </values>
      </ddeItem>
      <ddeItem name="@CTA[8-2-6-3-8-3851,J,9,#6]" advise="1">
        <values>
          <value t="nil">
            <val>1</val>
          </value>
        </values>
      </ddeItem>
      <ddeItem name="@CTA[8-2-6-3-9-3921,J,1,#6]" advise="1">
        <values>
          <value>
            <val>417109</val>
          </value>
        </values>
      </ddeItem>
      <ddeItem name="@CTA[8-2-6-3-9-3921,J,2,#6]" advise="1">
        <values>
          <value t="nil">
            <val>1</val>
          </value>
        </values>
      </ddeItem>
      <ddeItem name="@CTA[8-2-6-3-9-3921,J,3,#6]" advise="1">
        <values>
          <value t="nil">
            <val>1</val>
          </value>
        </values>
      </ddeItem>
      <ddeItem name="@CTA[8-2-6-3-9-3921,J,4,#6]" advise="1">
        <values>
          <value t="nil">
            <val>1</val>
          </value>
        </values>
      </ddeItem>
      <ddeItem name="@CTA[8-2-6-3-9-3921,J,5,#6]" advise="1">
        <values>
          <value t="nil">
            <val>1</val>
          </value>
        </values>
      </ddeItem>
      <ddeItem name="@CTA[8-2-6-3-9-3921,J,6,#6]" advise="1">
        <values>
          <value t="nil">
            <val>1</val>
          </value>
        </values>
      </ddeItem>
      <ddeItem name="@CTA[8-2-6-3-9-3921,J,7,#6]" advise="1">
        <values>
          <value t="nil">
            <val>1</val>
          </value>
        </values>
      </ddeItem>
      <ddeItem name="@CTA[8-2-6-3-9-3921,J,8,#6]" advise="1">
        <values>
          <value t="nil">
            <val>1</val>
          </value>
        </values>
      </ddeItem>
      <ddeItem name="@CTA[8-2-6-3-9-3921,J,9,#6]" advise="1">
        <values>
          <value t="nil">
            <val>1</val>
          </value>
        </values>
      </ddeItem>
      <ddeItem name="@CTA[8-2-6-3-9-3922,J,1,#6]" advise="1">
        <values>
          <value t="nil">
            <val>1</val>
          </value>
        </values>
      </ddeItem>
      <ddeItem name="@CTA[8-2-6-3-9-3922,J,2,#6]" advise="1">
        <values>
          <value t="nil">
            <val>1</val>
          </value>
        </values>
      </ddeItem>
      <ddeItem name="@CTA[8-2-6-3-9-3922,J,3,#6]" advise="1">
        <values>
          <value t="nil">
            <val>1</val>
          </value>
        </values>
      </ddeItem>
      <ddeItem name="@CTA[8-2-6-3-9-3922,J,4,#6]" advise="1">
        <values>
          <value t="nil">
            <val>1</val>
          </value>
        </values>
      </ddeItem>
      <ddeItem name="@CTA[8-2-6-3-9-3922,J,5,#6]" advise="1">
        <values>
          <value t="nil">
            <val>1</val>
          </value>
        </values>
      </ddeItem>
      <ddeItem name="@CTA[8-2-6-3-9-3922,J,6,#6]" advise="1">
        <values>
          <value t="nil">
            <val>1</val>
          </value>
        </values>
      </ddeItem>
      <ddeItem name="@CTA[8-2-6-3-9-3922,J,7,#6]" advise="1">
        <values>
          <value>
            <val>28843</val>
          </value>
        </values>
      </ddeItem>
      <ddeItem name="@CTA[8-2-6-3-9-3922,J,8,#6]" advise="1">
        <values>
          <value t="nil">
            <val>1</val>
          </value>
        </values>
      </ddeItem>
      <ddeItem name="@CTA[8-2-6-3-9-3922,J,9,#6]" advise="1">
        <values>
          <value>
            <val>0</val>
          </value>
        </values>
      </ddeItem>
      <ddeItem name="@CTA[8-2-6-3-9-3923,J,1,#6]" advise="1">
        <values>
          <value>
            <val>3686</val>
          </value>
        </values>
      </ddeItem>
      <ddeItem name="@CTA[8-2-6-3-9-3923,J,2,#6]" advise="1">
        <values>
          <value>
            <val>431</val>
          </value>
        </values>
      </ddeItem>
      <ddeItem name="@CTA[8-2-6-3-9-3923,J,3,#6]" advise="1">
        <values>
          <value t="nil">
            <val>1</val>
          </value>
        </values>
      </ddeItem>
      <ddeItem name="@CTA[8-2-6-3-9-3923,J,4,#6]" advise="1">
        <values>
          <value t="nil">
            <val>1</val>
          </value>
        </values>
      </ddeItem>
      <ddeItem name="@CTA[8-2-6-3-9-3923,J,5,#6]" advise="1">
        <values>
          <value>
            <val>119</val>
          </value>
        </values>
      </ddeItem>
      <ddeItem name="@CTA[8-2-6-3-9-3923,J,6,#6]" advise="1">
        <values>
          <value>
            <val>0</val>
          </value>
        </values>
      </ddeItem>
      <ddeItem name="@CTA[8-2-6-3-9-3923,J,7,#6]" advise="1">
        <values>
          <value>
            <val>431</val>
          </value>
        </values>
      </ddeItem>
      <ddeItem name="@CTA[8-2-6-3-9-3923,J,8,#6]" advise="1">
        <values>
          <value>
            <val>431</val>
          </value>
        </values>
      </ddeItem>
      <ddeItem name="@CTA[8-2-6-3-9-3923,J,9,#6]" advise="1">
        <values>
          <value>
            <val>431</val>
          </value>
        </values>
      </ddeItem>
      <ddeItem name="@CTA[8-2-6-3-9-3924,J,1,#6]" advise="1">
        <values>
          <value>
            <val>4691.2299999999996</val>
          </value>
        </values>
      </ddeItem>
      <ddeItem name="@CTA[8-2-6-3-9-3924,J,2,#6]" advise="1">
        <values>
          <value>
            <val>0</val>
          </value>
        </values>
      </ddeItem>
      <ddeItem name="@CTA[8-2-6-3-9-3924,J,3,#6]" advise="1">
        <values>
          <value>
            <val>586.4</val>
          </value>
        </values>
      </ddeItem>
      <ddeItem name="@CTA[8-2-6-3-9-3924,J,4,#6]" advise="1">
        <values>
          <value>
            <val>781.87</val>
          </value>
        </values>
      </ddeItem>
      <ddeItem name="@CTA[8-2-6-3-9-3924,J,5,#6]" advise="1">
        <values>
          <value>
            <val>1368.28</val>
          </value>
        </values>
      </ddeItem>
      <ddeItem name="@CTA[8-2-6-3-9-3924,J,6,#6]" advise="1">
        <values>
          <value t="nil">
            <val>1</val>
          </value>
        </values>
      </ddeItem>
      <ddeItem name="@CTA[8-2-6-3-9-3924,J,7,#6]" advise="1">
        <values>
          <value>
            <val>977.34</val>
          </value>
        </values>
      </ddeItem>
      <ddeItem name="@CTA[8-2-6-3-9-3924,J,8,#6]" advise="1">
        <values>
          <value>
            <val>390.94</val>
          </value>
        </values>
      </ddeItem>
      <ddeItem name="@CTA[8-2-6-3-9-3924,J,9,#6]" advise="1">
        <values>
          <value>
            <val>390.94</val>
          </value>
        </values>
      </ddeItem>
      <ddeItem name="@CTA[8-2-6-3-9-3925,J,1,#6]" advise="1">
        <values>
          <value>
            <val>3163.51</val>
          </value>
        </values>
      </ddeItem>
      <ddeItem name="@CTA[8-2-6-3-9-3925,J,2,#6]" advise="1">
        <values>
          <value>
            <val>202.59</val>
          </value>
        </values>
      </ddeItem>
      <ddeItem name="@CTA[8-2-6-3-9-3925,J,3,#6]" advise="1">
        <values>
          <value>
            <val>5207</val>
          </value>
        </values>
      </ddeItem>
      <ddeItem name="@CTA[8-2-6-3-9-3925,J,4,#6]" advise="1">
        <values>
          <value>
            <val>0</val>
          </value>
        </values>
      </ddeItem>
      <ddeItem name="@CTA[8-2-6-3-9-3925,J,5,#6]" advise="1">
        <values>
          <value>
            <val>0</val>
          </value>
        </values>
      </ddeItem>
      <ddeItem name="@CTA[8-2-6-3-9-3925,J,6,#6]" advise="1">
        <values>
          <value>
            <val>0</val>
          </value>
        </values>
      </ddeItem>
      <ddeItem name="@CTA[8-2-6-3-9-3925,J,7,#6]" advise="1">
        <values>
          <value>
            <val>0</val>
          </value>
        </values>
      </ddeItem>
      <ddeItem name="@CTA[8-2-6-3-9-3925,J,8,#6]" advise="1">
        <values>
          <value>
            <val>202.59</val>
          </value>
        </values>
      </ddeItem>
      <ddeItem name="@CTA[8-2-6-3-9-3925,J,9,#6]" advise="1">
        <values>
          <value>
            <val>202.59</val>
          </value>
        </values>
      </ddeItem>
      <ddeItem name="@CTA[8-2-6-3-9-3926,J,1,#6]" advise="1">
        <values>
          <value t="nil">
            <val>1</val>
          </value>
        </values>
      </ddeItem>
      <ddeItem name="@CTA[8-2-6-3-9-3926,J,2,#6]" advise="1">
        <values>
          <value t="nil">
            <val>1</val>
          </value>
        </values>
      </ddeItem>
      <ddeItem name="@CTA[8-2-6-3-9-3926,J,3,#6]" advise="1">
        <values>
          <value>
            <val>0</val>
          </value>
        </values>
      </ddeItem>
      <ddeItem name="@CTA[8-2-6-3-9-3926,J,4,#6]" advise="1">
        <values>
          <value t="nil">
            <val>1</val>
          </value>
        </values>
      </ddeItem>
      <ddeItem name="@CTA[8-2-6-3-9-3926,J,5,#6]" advise="1">
        <values>
          <value t="nil">
            <val>1</val>
          </value>
        </values>
      </ddeItem>
      <ddeItem name="@CTA[8-2-6-3-9-3926,J,6,#6]" advise="1">
        <values>
          <value t="nil">
            <val>1</val>
          </value>
        </values>
      </ddeItem>
      <ddeItem name="@CTA[8-2-6-3-9-3926,J,7,#6]" advise="1">
        <values>
          <value t="nil">
            <val>1</val>
          </value>
        </values>
      </ddeItem>
      <ddeItem name="@CTA[8-2-6-3-9-3926,J,8,#6]" advise="1">
        <values>
          <value t="nil">
            <val>1</val>
          </value>
        </values>
      </ddeItem>
      <ddeItem name="@CTA[8-2-6-3-9-3926,J,9,#6]" advise="1">
        <values>
          <value t="nil">
            <val>1</val>
          </value>
        </values>
      </ddeItem>
      <ddeItem name="@CTA[8-2-6-3-9-3961,J,1,#6]" advise="1">
        <values>
          <value>
            <val>0</val>
          </value>
        </values>
      </ddeItem>
      <ddeItem name="@CTA[8-2-6-3-9-3961,J,2,#6]" advise="1">
        <values>
          <value>
            <val>0</val>
          </value>
        </values>
      </ddeItem>
      <ddeItem name="@CTA[8-2-6-3-9-3961,J,3,#6]" advise="1">
        <values>
          <value>
            <val>0</val>
          </value>
        </values>
      </ddeItem>
      <ddeItem name="@CTA[8-2-6-3-9-3961,J,4,#6]" advise="1">
        <values>
          <value t="nil">
            <val>1</val>
          </value>
        </values>
      </ddeItem>
      <ddeItem name="@CTA[8-2-6-3-9-3961,J,5,#6]" advise="1">
        <values>
          <value t="nil">
            <val>1</val>
          </value>
        </values>
      </ddeItem>
      <ddeItem name="@CTA[8-2-6-3-9-3961,J,6,#6]" advise="1">
        <values>
          <value t="nil">
            <val>1</val>
          </value>
        </values>
      </ddeItem>
      <ddeItem name="@CTA[8-2-6-3-9-3961,J,7,#6]" advise="1">
        <values>
          <value t="nil">
            <val>1</val>
          </value>
        </values>
      </ddeItem>
      <ddeItem name="@CTA[8-2-6-3-9-3961,J,8,#6]" advise="1">
        <values>
          <value t="nil">
            <val>1</val>
          </value>
        </values>
      </ddeItem>
      <ddeItem name="@CTA[8-2-6-3-9-3961,J,9,#6]" advise="1">
        <values>
          <value t="nil">
            <val>1</val>
          </value>
        </values>
      </ddeItem>
      <ddeItem name="@CTA[8-2-6-3-9-3962,J,1,#6]" advise="1">
        <values>
          <value>
            <val>4195.74</val>
          </value>
        </values>
      </ddeItem>
      <ddeItem name="@CTA[8-2-6-3-9-3962,J,2,#6]" advise="1">
        <values>
          <value t="nil">
            <val>1</val>
          </value>
        </values>
      </ddeItem>
      <ddeItem name="@CTA[8-2-6-3-9-3962,J,3,#6]" advise="1">
        <values>
          <value>
            <val>0</val>
          </value>
        </values>
      </ddeItem>
      <ddeItem name="@CTA[8-2-6-3-9-3962,J,4,#6]" advise="1">
        <values>
          <value>
            <val>5330</val>
          </value>
        </values>
      </ddeItem>
      <ddeItem name="@CTA[8-2-6-3-9-3962,J,5,#6]" advise="1">
        <values>
          <value>
            <val>0</val>
          </value>
        </values>
      </ddeItem>
      <ddeItem name="@CTA[8-2-6-3-9-3962,J,6,#6]" advise="1">
        <values>
          <value t="nil">
            <val>1</val>
          </value>
        </values>
      </ddeItem>
      <ddeItem name="@CTA[8-2-6-3-9-3962,J,7,#6]" advise="1">
        <values>
          <value>
            <val>2549.48</val>
          </value>
        </values>
      </ddeItem>
      <ddeItem name="@CTA[8-2-6-3-9-3962,J,8,#6]" advise="1">
        <values>
          <value>
            <val>0</val>
          </value>
        </values>
      </ddeItem>
      <ddeItem name="@CTA[8-2-6-3-9-3962,J,9,#6]" advise="1">
        <values>
          <value t="nil">
            <val>1</val>
          </value>
        </values>
      </ddeItem>
      <ddeItem name="@CTA[8-2-6-3-9-3981,J,1,#6]" advise="1">
        <values>
          <value>
            <val>18618.3</val>
          </value>
        </values>
      </ddeItem>
      <ddeItem name="@CTA[8-2-6-3-9-3981,J,2,#6]" advise="1">
        <values>
          <value>
            <val>5578.25</val>
          </value>
        </values>
      </ddeItem>
      <ddeItem name="@CTA[8-2-6-3-9-3981,J,3,#6]" advise="1">
        <values>
          <value>
            <val>5747.17</val>
          </value>
        </values>
      </ddeItem>
      <ddeItem name="@CTA[8-2-6-3-9-3981,J,4,#6]" advise="1">
        <values>
          <value>
            <val>4222.17</val>
          </value>
        </values>
      </ddeItem>
      <ddeItem name="@CTA[8-2-6-3-9-3981,J,5,#6]" advise="1">
        <values>
          <value>
            <val>5943.32</val>
          </value>
        </values>
      </ddeItem>
      <ddeItem name="@CTA[8-2-6-3-9-3981,J,6,#6]" advise="1">
        <values>
          <value>
            <val>1625.3200000000002</val>
          </value>
        </values>
      </ddeItem>
      <ddeItem name="@CTA[8-2-6-3-9-3981,J,7,#6]" advise="1">
        <values>
          <value>
            <val>5581.42</val>
          </value>
        </values>
      </ddeItem>
      <ddeItem name="@CTA[8-2-6-3-9-3981,J,8,#6]" advise="1">
        <values>
          <value>
            <val>1567.73</val>
          </value>
        </values>
      </ddeItem>
      <ddeItem name="@CTA[8-2-6-3-9-3981,J,9,#6]" advise="1">
        <values>
          <value>
            <val>3212.6499999999996</val>
          </value>
        </values>
      </ddeItem>
      <ddeItem name="@CTA[8-2-6-5-1-5111,J,1,#6]" advise="1">
        <values>
          <value>
            <val>0</val>
          </value>
        </values>
      </ddeItem>
      <ddeItem name="@CTA[8-2-6-5-1-5111,J,2,#6]" advise="1">
        <values>
          <value>
            <val>0</val>
          </value>
        </values>
      </ddeItem>
      <ddeItem name="@CTA[8-2-6-5-1-5111,J,3,#6]" advise="1">
        <values>
          <value>
            <val>0</val>
          </value>
        </values>
      </ddeItem>
      <ddeItem name="@CTA[8-2-6-5-1-5111,J,4,#6]" advise="1">
        <values>
          <value>
            <val>0</val>
          </value>
        </values>
      </ddeItem>
      <ddeItem name="@CTA[8-2-6-5-1-5111,J,5,#6]" advise="1">
        <values>
          <value>
            <val>0</val>
          </value>
        </values>
      </ddeItem>
      <ddeItem name="@CTA[8-2-6-5-1-5111,J,6,#6]" advise="1">
        <values>
          <value t="nil">
            <val>1</val>
          </value>
        </values>
      </ddeItem>
      <ddeItem name="@CTA[8-2-6-5-1-5111,J,7,#6]" advise="1">
        <values>
          <value>
            <val>0</val>
          </value>
        </values>
      </ddeItem>
      <ddeItem name="@CTA[8-2-6-5-1-5111,J,8,#6]" advise="1">
        <values>
          <value>
            <val>0</val>
          </value>
        </values>
      </ddeItem>
      <ddeItem name="@CTA[8-2-6-5-1-5111,J,9,#6]" advise="1">
        <values>
          <value>
            <val>0</val>
          </value>
        </values>
      </ddeItem>
      <ddeItem name="@CTA[8-2-6-5-1-5151,J,1,#6]" advise="1">
        <values>
          <value>
            <val>0</val>
          </value>
        </values>
      </ddeItem>
      <ddeItem name="@CTA[8-2-6-5-1-5151,J,2,#6]" advise="1">
        <values>
          <value t="nil">
            <val>1</val>
          </value>
        </values>
      </ddeItem>
      <ddeItem name="@CTA[8-2-6-5-1-5151,J,3,#6]" advise="1">
        <values>
          <value>
            <val>0</val>
          </value>
        </values>
      </ddeItem>
      <ddeItem name="@CTA[8-2-6-5-1-5151,J,4,#6]" advise="1">
        <values>
          <value t="nil">
            <val>1</val>
          </value>
        </values>
      </ddeItem>
      <ddeItem name="@CTA[8-2-6-5-1-5151,J,5,#6]" advise="1">
        <values>
          <value>
            <val>0</val>
          </value>
        </values>
      </ddeItem>
      <ddeItem name="@CTA[8-2-6-5-1-5151,J,6,#6]" advise="1">
        <values>
          <value>
            <val>0</val>
          </value>
        </values>
      </ddeItem>
      <ddeItem name="@CTA[8-2-6-5-1-5151,J,7,#6]" advise="1">
        <values>
          <value>
            <val>0</val>
          </value>
        </values>
      </ddeItem>
      <ddeItem name="@CTA[8-2-6-5-1-5151,J,8,#6]" advise="1">
        <values>
          <value>
            <val>0</val>
          </value>
        </values>
      </ddeItem>
      <ddeItem name="@CTA[8-2-6-5-1-5151,J,9,#6]" advise="1">
        <values>
          <value>
            <val>0</val>
          </value>
        </values>
      </ddeItem>
      <ddeItem name="@CTA[8-2-6-5-1-5152,J,1,#6]" advise="1">
        <values>
          <value t="nil">
            <val>1</val>
          </value>
        </values>
      </ddeItem>
      <ddeItem name="@CTA[8-2-6-5-1-5152,J,2,#6]" advise="1">
        <values>
          <value>
            <val>0</val>
          </value>
        </values>
      </ddeItem>
      <ddeItem name="@CTA[8-2-6-5-1-5152,J,3,#6]" advise="1">
        <values>
          <value t="nil">
            <val>1</val>
          </value>
        </values>
      </ddeItem>
      <ddeItem name="@CTA[8-2-6-5-1-5152,J,4,#6]" advise="1">
        <values>
          <value>
            <val>8864.64</val>
          </value>
        </values>
      </ddeItem>
      <ddeItem name="@CTA[8-2-6-5-1-5152,J,5,#6]" advise="1">
        <values>
          <value>
            <val>0</val>
          </value>
        </values>
      </ddeItem>
      <ddeItem name="@CTA[8-2-6-5-1-5152,J,6,#6]" advise="1">
        <values>
          <value>
            <val>0</val>
          </value>
        </values>
      </ddeItem>
      <ddeItem name="@CTA[8-2-6-5-1-5152,J,7,#6]" advise="1">
        <values>
          <value t="nil">
            <val>1</val>
          </value>
        </values>
      </ddeItem>
      <ddeItem name="@CTA[8-2-6-5-1-5152,J,8,#6]" advise="1">
        <values>
          <value t="nil">
            <val>1</val>
          </value>
        </values>
      </ddeItem>
      <ddeItem name="@CTA[8-2-6-5-1-5152,J,9,#6]" advise="1">
        <values>
          <value t="nil">
            <val>1</val>
          </value>
        </values>
      </ddeItem>
      <ddeItem name="@CTA[8-2-6-5-1-5153,J,1,#6]" advise="1">
        <values>
          <value t="nil">
            <val>1</val>
          </value>
        </values>
      </ddeItem>
      <ddeItem name="@CTA[8-2-6-5-1-5153,J,2,#6]" advise="1">
        <values>
          <value t="nil">
            <val>1</val>
          </value>
        </values>
      </ddeItem>
      <ddeItem name="@CTA[8-2-6-5-1-5153,J,3,#6]" advise="1">
        <values>
          <value t="nil">
            <val>1</val>
          </value>
        </values>
      </ddeItem>
      <ddeItem name="@CTA[8-2-6-5-1-5153,J,4,#6]" advise="1">
        <values>
          <value t="nil">
            <val>1</val>
          </value>
        </values>
      </ddeItem>
      <ddeItem name="@CTA[8-2-6-5-1-5153,J,5,#6]" advise="1">
        <values>
          <value t="nil">
            <val>1</val>
          </value>
        </values>
      </ddeItem>
      <ddeItem name="@CTA[8-2-6-5-1-5153,J,6,#6]" advise="1">
        <values>
          <value>
            <val>0</val>
          </value>
        </values>
      </ddeItem>
      <ddeItem name="@CTA[8-2-6-5-1-5153,J,7,#6]" advise="1">
        <values>
          <value>
            <val>0</val>
          </value>
        </values>
      </ddeItem>
      <ddeItem name="@CTA[8-2-6-5-1-5153,J,8,#6]" advise="1">
        <values>
          <value t="nil">
            <val>1</val>
          </value>
        </values>
      </ddeItem>
      <ddeItem name="@CTA[8-2-6-5-1-5153,J,9,#6]" advise="1">
        <values>
          <value t="nil">
            <val>1</val>
          </value>
        </values>
      </ddeItem>
      <ddeItem name="@CTA[8-2-6-5-2-5231,J,1,#6]" advise="1">
        <values>
          <value>
            <val>0</val>
          </value>
        </values>
      </ddeItem>
      <ddeItem name="@CTA[8-2-6-5-2-5231,J,2,#6]" advise="1">
        <values>
          <value>
            <val>0</val>
          </value>
        </values>
      </ddeItem>
      <ddeItem name="@CTA[8-2-6-5-2-5231,J,3,#6]" advise="1">
        <values>
          <value>
            <val>0</val>
          </value>
        </values>
      </ddeItem>
      <ddeItem name="@CTA[8-2-6-5-2-5231,J,4,#6]" advise="1">
        <values>
          <value>
            <val>0</val>
          </value>
        </values>
      </ddeItem>
      <ddeItem name="@CTA[8-2-6-5-2-5231,J,5,#6]" advise="1">
        <values>
          <value>
            <val>0</val>
          </value>
        </values>
      </ddeItem>
      <ddeItem name="@CTA[8-2-6-5-2-5231,J,6,#6]" advise="1">
        <values>
          <value t="nil">
            <val>1</val>
          </value>
        </values>
      </ddeItem>
      <ddeItem name="@CTA[8-2-6-5-2-5231,J,7,#6]" advise="1">
        <values>
          <value t="nil">
            <val>1</val>
          </value>
        </values>
      </ddeItem>
      <ddeItem name="@CTA[8-2-6-5-2-5231,J,8,#6]" advise="1">
        <values>
          <value>
            <val>0</val>
          </value>
        </values>
      </ddeItem>
      <ddeItem name="@CTA[8-2-6-5-2-5231,J,9,#6]" advise="1">
        <values>
          <value t="nil">
            <val>1</val>
          </value>
        </values>
      </ddeItem>
      <ddeItem name="@CTA[8-2-6-5-3-5311,J,7,#6]" advise="1">
        <values>
          <value>
            <val>0</val>
          </value>
        </values>
      </ddeItem>
      <ddeItem name="@CTA[8-2-6-5-4-5411,J,1,#6]" advise="1">
        <values>
          <value t="nil">
            <val>1</val>
          </value>
        </values>
      </ddeItem>
      <ddeItem name="@CTA[8-2-6-5-4-5411,J,2,#6]" advise="1">
        <values>
          <value t="nil">
            <val>1</val>
          </value>
        </values>
      </ddeItem>
      <ddeItem name="@CTA[8-2-6-5-4-5411,J,3,#6]" advise="1">
        <values>
          <value t="nil">
            <val>1</val>
          </value>
        </values>
      </ddeItem>
      <ddeItem name="@CTA[8-2-6-5-4-5411,J,4,#6]" advise="1">
        <values>
          <value t="nil">
            <val>1</val>
          </value>
        </values>
      </ddeItem>
      <ddeItem name="@CTA[8-2-6-5-4-5411,J,5,#6]" advise="1">
        <values>
          <value t="nil">
            <val>1</val>
          </value>
        </values>
      </ddeItem>
      <ddeItem name="@CTA[8-2-6-5-4-5411,J,6,#6]" advise="1">
        <values>
          <value t="nil">
            <val>1</val>
          </value>
        </values>
      </ddeItem>
      <ddeItem name="@CTA[8-2-6-5-4-5411,J,7,#6]" advise="1">
        <values>
          <value t="nil">
            <val>1</val>
          </value>
        </values>
      </ddeItem>
      <ddeItem name="@CTA[8-2-6-5-4-5411,J,8,#6]" advise="1">
        <values>
          <value t="nil">
            <val>1</val>
          </value>
        </values>
      </ddeItem>
      <ddeItem name="@CTA[8-2-6-5-4-5411,J,9,#6]" advise="1">
        <values>
          <value t="nil">
            <val>1</val>
          </value>
        </values>
      </ddeItem>
      <ddeItem name="@CTA[8-2-6-5-4-5491,J,1,#6]" advise="1">
        <values>
          <value>
            <val>22758.62</val>
          </value>
        </values>
      </ddeItem>
      <ddeItem name="@CTA[8-2-6-5-4-5491,J,2,#6]" advise="1">
        <values>
          <value t="nil">
            <val>1</val>
          </value>
        </values>
      </ddeItem>
      <ddeItem name="@CTA[8-2-6-5-4-5491,J,3,#6]" advise="1">
        <values>
          <value t="nil">
            <val>1</val>
          </value>
        </values>
      </ddeItem>
      <ddeItem name="@CTA[8-2-6-5-4-5491,J,4,#6]" advise="1">
        <values>
          <value t="nil">
            <val>1</val>
          </value>
        </values>
      </ddeItem>
      <ddeItem name="@CTA[8-2-6-5-4-5491,J,5,#6]" advise="1">
        <values>
          <value>
            <val>0</val>
          </value>
        </values>
      </ddeItem>
      <ddeItem name="@CTA[8-2-6-5-4-5491,J,6,#6]" advise="1">
        <values>
          <value t="nil">
            <val>1</val>
          </value>
        </values>
      </ddeItem>
      <ddeItem name="@CTA[8-2-6-5-4-5491,J,7,#6]" advise="1">
        <values>
          <value t="nil">
            <val>1</val>
          </value>
        </values>
      </ddeItem>
      <ddeItem name="@CTA[8-2-6-5-4-5491,J,8,#6]" advise="1">
        <values>
          <value t="nil">
            <val>1</val>
          </value>
        </values>
      </ddeItem>
      <ddeItem name="@CTA[8-2-6-5-4-5491,J,9,#6]" advise="1">
        <values>
          <value t="nil">
            <val>1</val>
          </value>
        </values>
      </ddeItem>
      <ddeItem name="@CTA[8-2-6-5-6-5631,J,1,#6]" advise="1">
        <values>
          <value>
            <val>0</val>
          </value>
        </values>
      </ddeItem>
      <ddeItem name="@CTA[8-2-6-5-6-5631,J,2,#6]" advise="1">
        <values>
          <value t="nil">
            <val>1</val>
          </value>
        </values>
      </ddeItem>
      <ddeItem name="@CTA[8-2-6-5-6-5631,J,3,#6]" advise="1">
        <values>
          <value t="nil">
            <val>1</val>
          </value>
        </values>
      </ddeItem>
      <ddeItem name="@CTA[8-2-6-5-6-5631,J,4,#6]" advise="1">
        <values>
          <value t="nil">
            <val>1</val>
          </value>
        </values>
      </ddeItem>
      <ddeItem name="@CTA[8-2-6-5-6-5631,J,5,#6]" advise="1">
        <values>
          <value t="nil">
            <val>1</val>
          </value>
        </values>
      </ddeItem>
      <ddeItem name="@CTA[8-2-6-5-6-5631,J,6,#6]" advise="1">
        <values>
          <value t="nil">
            <val>1</val>
          </value>
        </values>
      </ddeItem>
      <ddeItem name="@CTA[8-2-6-5-6-5631,J,7,#6]" advise="1">
        <values>
          <value t="nil">
            <val>1</val>
          </value>
        </values>
      </ddeItem>
      <ddeItem name="@CTA[8-2-6-5-6-5631,J,8,#6]" advise="1">
        <values>
          <value t="nil">
            <val>1</val>
          </value>
        </values>
      </ddeItem>
      <ddeItem name="@CTA[8-2-6-5-6-5631,J,9,#6]" advise="1">
        <values>
          <value t="nil">
            <val>1</val>
          </value>
        </values>
      </ddeItem>
      <ddeItem name="@CTA[8-2-6-5-6-5632,J,1,#6]" advise="1">
        <values>
          <value>
            <val>0</val>
          </value>
        </values>
      </ddeItem>
      <ddeItem name="@CTA[8-2-6-5-6-5632,J,9,#6]" advise="1">
        <values>
          <value>
            <val>0</val>
          </value>
        </values>
      </ddeItem>
      <ddeItem name="@CTA[8-2-6-5-6-5651,J,1,#6]" advise="1">
        <values>
          <value>
            <val>0</val>
          </value>
        </values>
      </ddeItem>
      <ddeItem name="@CTA[8-2-6-5-6-5651,J,2,#6]" advise="1">
        <values>
          <value t="nil">
            <val>1</val>
          </value>
        </values>
      </ddeItem>
      <ddeItem name="@CTA[8-2-6-5-6-5651,J,3,#6]" advise="1">
        <values>
          <value t="nil">
            <val>1</val>
          </value>
        </values>
      </ddeItem>
      <ddeItem name="@CTA[8-2-6-5-6-5651,J,4,#6]" advise="1">
        <values>
          <value t="nil">
            <val>1</val>
          </value>
        </values>
      </ddeItem>
      <ddeItem name="@CTA[8-2-6-5-6-5651,J,5,#6]" advise="1">
        <values>
          <value t="nil">
            <val>1</val>
          </value>
        </values>
      </ddeItem>
      <ddeItem name="@CTA[8-2-6-5-6-5651,J,6,#6]" advise="1">
        <values>
          <value t="nil">
            <val>1</val>
          </value>
        </values>
      </ddeItem>
      <ddeItem name="@CTA[8-2-6-5-6-5651,J,7,#6]" advise="1">
        <values>
          <value>
            <val>0</val>
          </value>
        </values>
      </ddeItem>
      <ddeItem name="@CTA[8-2-6-5-6-5651,J,8,#6]" advise="1">
        <values>
          <value t="nil">
            <val>1</val>
          </value>
        </values>
      </ddeItem>
      <ddeItem name="@CTA[8-2-6-5-6-5651,J,9,#6]" advise="1">
        <values>
          <value t="nil">
            <val>1</val>
          </value>
        </values>
      </ddeItem>
      <ddeItem name="@CTA[8-2-6-5-6-5653,J,8,#6]" advise="1">
        <values>
          <value>
            <val>0</val>
          </value>
        </values>
      </ddeItem>
      <ddeItem name="@CTA[8-2-6-5-6-5671,J,1,#6]" advise="1">
        <values>
          <value>
            <val>0</val>
          </value>
        </values>
      </ddeItem>
      <ddeItem name="@CTA[8-2-6-5-6-5671,J,2,#6]" advise="1">
        <values>
          <value t="nil">
            <val>1</val>
          </value>
        </values>
      </ddeItem>
      <ddeItem name="@CTA[8-2-6-5-6-5671,J,3,#6]" advise="1">
        <values>
          <value>
            <val>0</val>
          </value>
        </values>
      </ddeItem>
      <ddeItem name="@CTA[8-2-6-5-6-5671,J,4,#6]" advise="1">
        <values>
          <value t="nil">
            <val>1</val>
          </value>
        </values>
      </ddeItem>
      <ddeItem name="@CTA[8-2-6-5-6-5671,J,5,#6]" advise="1">
        <values>
          <value t="nil">
            <val>1</val>
          </value>
        </values>
      </ddeItem>
      <ddeItem name="@CTA[8-2-6-5-6-5671,J,6,#6]" advise="1">
        <values>
          <value t="nil">
            <val>1</val>
          </value>
        </values>
      </ddeItem>
      <ddeItem name="@CTA[8-2-6-5-6-5671,J,7,#6]" advise="1">
        <values>
          <value>
            <val>0</val>
          </value>
        </values>
      </ddeItem>
      <ddeItem name="@CTA[8-2-6-5-6-5671,J,8,#6]" advise="1">
        <values>
          <value t="nil">
            <val>1</val>
          </value>
        </values>
      </ddeItem>
      <ddeItem name="@CTA[8-2-6-5-6-5671,J,9,#6]" advise="1">
        <values>
          <value t="nil">
            <val>1</val>
          </value>
        </values>
      </ddeItem>
      <ddeItem name="@CTA[8-2-6-5-6-5693,J,1,#6]" advise="1">
        <values>
          <value>
            <val>0</val>
          </value>
        </values>
      </ddeItem>
      <ddeItem name="@CTA[8-2-6-5-6-5694,J,3,#6]" advise="1">
        <values>
          <value>
            <val>0</val>
          </value>
        </values>
      </ddeItem>
      <ddeItem name="@CTA[8-2-6-5-9-5911,J,1,#6]" advise="1">
        <values>
          <value t="nil">
            <val>1</val>
          </value>
        </values>
      </ddeItem>
      <ddeItem name="@CTA[8-2-6-5-9-5911,J,2,#6]" advise="1">
        <values>
          <value t="nil">
            <val>1</val>
          </value>
        </values>
      </ddeItem>
      <ddeItem name="@CTA[8-2-6-5-9-5911,J,3,#6]" advise="1">
        <values>
          <value t="nil">
            <val>1</val>
          </value>
        </values>
      </ddeItem>
      <ddeItem name="@CTA[8-2-6-5-9-5911,J,4,#6]" advise="1">
        <values>
          <value>
            <val>0</val>
          </value>
        </values>
      </ddeItem>
      <ddeItem name="@CTA[8-2-6-5-9-5911,J,5,#6]" advise="1">
        <values>
          <value t="nil">
            <val>1</val>
          </value>
        </values>
      </ddeItem>
      <ddeItem name="@CTA[8-2-6-5-9-5911,J,6,#6]" advise="1">
        <values>
          <value>
            <val>0</val>
          </value>
        </values>
      </ddeItem>
      <ddeItem name="@CTA[8-2-6-5-9-5911,J,7,#6]" advise="1">
        <values>
          <value t="nil">
            <val>1</val>
          </value>
        </values>
      </ddeItem>
      <ddeItem name="@CTA[8-2-6-5-9-5911,J,8,#6]" advise="1">
        <values>
          <value t="nil">
            <val>1</val>
          </value>
        </values>
      </ddeItem>
      <ddeItem name="@CTA[8-2-6-5-9-5911,J,9,#6]" advise="1">
        <values>
          <value>
            <val>0</val>
          </value>
        </values>
      </ddeItem>
      <ddeItem name="@CTA[8-2-6-5-9-5951,J,2,#6]" advise="1">
        <values>
          <value t="nil">
            <val>1</val>
          </value>
        </values>
      </ddeItem>
      <ddeItem name="@CTA[8-2-6-6-1-6131,J,1,#6]" advise="1">
        <values>
          <value>
            <val>0</val>
          </value>
        </values>
      </ddeItem>
      <ddeItem name="@CTA[8-2-6-6-1-6131,J,2,#6]" advise="1">
        <values>
          <value t="nil">
            <val>1</val>
          </value>
        </values>
      </ddeItem>
      <ddeItem name="@CTA[8-2-6-6-1-6131,J,3,#6]" advise="1">
        <values>
          <value t="nil">
            <val>1</val>
          </value>
        </values>
      </ddeItem>
      <ddeItem name="@CTA[8-2-6-6-1-6131,J,4,#6]" advise="1">
        <values>
          <value t="nil">
            <val>1</val>
          </value>
        </values>
      </ddeItem>
      <ddeItem name="@CTA[8-2-6-6-1-6131,J,5,#6]" advise="1">
        <values>
          <value t="nil">
            <val>1</val>
          </value>
        </values>
      </ddeItem>
      <ddeItem name="@CTA[8-2-6-6-1-6131,J,6,#6]" advise="1">
        <values>
          <value t="nil">
            <val>1</val>
          </value>
        </values>
      </ddeItem>
      <ddeItem name="@CTA[8-2-6-6-1-6131,J,7,#6]" advise="1">
        <values>
          <value t="nil">
            <val>1</val>
          </value>
        </values>
      </ddeItem>
      <ddeItem name="@CTA[8-2-6-6-1-6131,J,8,#6]" advise="1">
        <values>
          <value t="nil">
            <val>1</val>
          </value>
        </values>
      </ddeItem>
      <ddeItem name="@CTA[8-2-6-6-1-6131,J,9,#6]" advise="1">
        <values>
          <value>
            <val>0</val>
          </value>
        </values>
      </ddeItem>
      <ddeItem name="@CTA[8-2-6-6-1-6161,J,1,#6]" advise="1">
        <values>
          <value>
            <val>0</val>
          </value>
        </values>
      </ddeItem>
      <ddeItem name="@CTA[8-2-6-6-1-6161,J,2,#6]" advise="1">
        <values>
          <value t="nil">
            <val>1</val>
          </value>
        </values>
      </ddeItem>
      <ddeItem name="@CTA[8-2-6-6-1-6161,J,3,#6]" advise="1">
        <values>
          <value t="nil">
            <val>1</val>
          </value>
        </values>
      </ddeItem>
      <ddeItem name="@CTA[8-2-6-6-1-6161,J,4,#6]" advise="1">
        <values>
          <value t="nil">
            <val>1</val>
          </value>
        </values>
      </ddeItem>
      <ddeItem name="@CTA[8-2-6-6-1-6161,J,5,#6]" advise="1">
        <values>
          <value t="nil">
            <val>1</val>
          </value>
        </values>
      </ddeItem>
      <ddeItem name="@CTA[8-2-6-6-1-6161,J,6,#6]" advise="1">
        <values>
          <value t="nil">
            <val>1</val>
          </value>
        </values>
      </ddeItem>
      <ddeItem name="@CTA[8-2-6-6-1-6161,J,7,#6]" advise="1">
        <values>
          <value t="nil">
            <val>1</val>
          </value>
        </values>
      </ddeItem>
      <ddeItem name="@CTA[8-2-6-6-1-6161,J,8,#6]" advise="1">
        <values>
          <value t="nil">
            <val>1</val>
          </value>
        </values>
      </ddeItem>
      <ddeItem name="@CTA[8-2-6-6-1-6161,J,9,#6]" advise="1">
        <values>
          <value>
            <val>0</val>
          </value>
        </values>
      </ddeItem>
      <ddeItem name="@CTA[8-2-6-6-1-6162,J,1,#6]" advise="1">
        <values>
          <value>
            <val>0</val>
          </value>
        </values>
      </ddeItem>
      <ddeItem name="@CTA[8-2-6-6-1-6162,J,2,#6]" advise="1">
        <values>
          <value t="nil">
            <val>1</val>
          </value>
        </values>
      </ddeItem>
      <ddeItem name="@CTA[8-2-6-6-1-6162,J,3,#6]" advise="1">
        <values>
          <value t="nil">
            <val>1</val>
          </value>
        </values>
      </ddeItem>
      <ddeItem name="@CTA[8-2-6-6-1-6162,J,4,#6]" advise="1">
        <values>
          <value t="nil">
            <val>1</val>
          </value>
        </values>
      </ddeItem>
      <ddeItem name="@CTA[8-2-6-6-1-6162,J,5,#6]" advise="1">
        <values>
          <value t="nil">
            <val>1</val>
          </value>
        </values>
      </ddeItem>
      <ddeItem name="@CTA[8-2-6-6-1-6162,J,6,#6]" advise="1">
        <values>
          <value t="nil">
            <val>1</val>
          </value>
        </values>
      </ddeItem>
      <ddeItem name="@CTA[8-2-6-6-1-6162,J,7,#6]" advise="1">
        <values>
          <value t="nil">
            <val>1</val>
          </value>
        </values>
      </ddeItem>
      <ddeItem name="@CTA[8-2-6-6-1-6162,J,8,#6]" advise="1">
        <values>
          <value t="nil">
            <val>1</val>
          </value>
        </values>
      </ddeItem>
      <ddeItem name="@CTA[8-2-6-6-1-6162,J,9,#6]" advise="1">
        <values>
          <value>
            <val>1776253.7399999998</val>
          </value>
        </values>
      </ddeItem>
      <ddeItem name="@CTA[8-2-6-6-1-6171,J,1,#6]" advise="1">
        <values>
          <value>
            <val>0</val>
          </value>
        </values>
      </ddeItem>
      <ddeItem name="@CTA[8-2-6-6-1-6171,J,2,#6]" advise="1">
        <values>
          <value t="nil">
            <val>1</val>
          </value>
        </values>
      </ddeItem>
      <ddeItem name="@CTA[8-2-6-6-1-6171,J,3,#6]" advise="1">
        <values>
          <value t="nil">
            <val>1</val>
          </value>
        </values>
      </ddeItem>
      <ddeItem name="@CTA[8-2-6-6-1-6171,J,4,#6]" advise="1">
        <values>
          <value t="nil">
            <val>1</val>
          </value>
        </values>
      </ddeItem>
      <ddeItem name="@CTA[8-2-6-6-1-6171,J,5,#6]" advise="1">
        <values>
          <value t="nil">
            <val>1</val>
          </value>
        </values>
      </ddeItem>
      <ddeItem name="@CTA[8-2-6-6-1-6171,J,6,#6]" advise="1">
        <values>
          <value t="nil">
            <val>1</val>
          </value>
        </values>
      </ddeItem>
      <ddeItem name="@CTA[8-2-6-6-1-6171,J,7,#6]" advise="1">
        <values>
          <value t="nil">
            <val>1</val>
          </value>
        </values>
      </ddeItem>
      <ddeItem name="@CTA[8-2-6-6-1-6171,J,8,#6]" advise="1">
        <values>
          <value t="nil">
            <val>1</val>
          </value>
        </values>
      </ddeItem>
      <ddeItem name="@CTA[8-2-6-6-1-6171,J,9,#6]" advise="1">
        <values>
          <value>
            <val>698051.86</val>
          </value>
        </values>
      </ddeItem>
      <ddeItem name="@CTA[8-2-6-6-2-6221,J,1,#6]" advise="1">
        <values>
          <value t="nil">
            <val>1</val>
          </value>
        </values>
      </ddeItem>
      <ddeItem name="@CTA[8-2-7-1,F,#4]" advise="1">
        <values>
          <value>
            <val>3591799.2099999841</val>
          </value>
        </values>
      </ddeItem>
      <ddeItem name="@CTA[8-2-7-1-1,F,#5]" advise="1">
        <values>
          <value>
            <val>2041912.6799999971</val>
          </value>
        </values>
      </ddeItem>
      <ddeItem name="@CTA[8-2-7-1-1-1131,F,1,#6]" advise="1">
        <values>
          <value>
            <val>749927.77999999956</val>
          </value>
        </values>
      </ddeItem>
      <ddeItem name="@CTA[8-2-7-1-1-1131,F,2,#6]" advise="1">
        <values>
          <value>
            <val>133729.88000000024</val>
          </value>
        </values>
      </ddeItem>
      <ddeItem name="@CTA[8-2-7-1-1-1131,F,3,#6]" advise="1">
        <values>
          <value>
            <val>240665.99000000022</val>
          </value>
        </values>
      </ddeItem>
      <ddeItem name="@CTA[8-2-7-1-1-1131,F,4,#6]" advise="1">
        <values>
          <value>
            <val>176168.51</val>
          </value>
        </values>
      </ddeItem>
      <ddeItem name="@CTA[8-2-7-1-1-1131,F,5,#6]" advise="1">
        <values>
          <value>
            <val>242815.1</val>
          </value>
        </values>
      </ddeItem>
      <ddeItem name="@CTA[8-2-7-1-1-1131,F,6,#6]" advise="1">
        <values>
          <value>
            <val>69632.839999999967</val>
          </value>
        </values>
      </ddeItem>
      <ddeItem name="@CTA[8-2-7-1-1-1131,F,7,#6]" advise="1">
        <values>
          <value>
            <val>222647.18000000011</val>
          </value>
        </values>
      </ddeItem>
      <ddeItem name="@CTA[8-2-7-1-1-1131,F,8,#6]" advise="1">
        <values>
          <value>
            <val>63726.190000000031</val>
          </value>
        </values>
      </ddeItem>
      <ddeItem name="@CTA[8-2-7-1-1-1131,F,9,#6]" advise="1">
        <values>
          <value>
            <val>142599.21000000002</val>
          </value>
        </values>
      </ddeItem>
      <ddeItem name="@CTA[8-2-7-1-2,F,#5]" advise="1">
        <values>
          <value>
            <val>131985.09999999971</val>
          </value>
        </values>
      </ddeItem>
      <ddeItem name="@CTA[8-2-7-1-2-1211,F,1,#6]" advise="1">
        <values>
          <value t="nil">
            <val>1</val>
          </value>
        </values>
      </ddeItem>
      <ddeItem name="@CTA[8-2-7-1-2-1211,F,2,#6]" advise="1">
        <values>
          <value>
            <val>131985.09999999971</val>
          </value>
        </values>
      </ddeItem>
      <ddeItem name="@CTA[8-2-7-1-2-1211,F,3,#6]" advise="1">
        <values>
          <value>
            <val>0</val>
          </value>
        </values>
      </ddeItem>
      <ddeItem name="@CTA[8-2-7-1-2-1211,F,4,#6]" advise="1">
        <values>
          <value t="nil">
            <val>1</val>
          </value>
        </values>
      </ddeItem>
      <ddeItem name="@CTA[8-2-7-1-2-1211,F,5,#6]" advise="1">
        <values>
          <value t="nil">
            <val>1</val>
          </value>
        </values>
      </ddeItem>
      <ddeItem name="@CTA[8-2-7-1-2-1211,F,6,#6]" advise="1">
        <values>
          <value>
            <val>0</val>
          </value>
        </values>
      </ddeItem>
      <ddeItem name="@CTA[8-2-7-1-2-1211,F,7,#6]" advise="1">
        <values>
          <value t="nil">
            <val>1</val>
          </value>
        </values>
      </ddeItem>
      <ddeItem name="@CTA[8-2-7-1-2-1211,F,8,#6]" advise="1">
        <values>
          <value t="nil">
            <val>1</val>
          </value>
        </values>
      </ddeItem>
      <ddeItem name="@CTA[8-2-7-1-2-1211,F,9,#6]" advise="1">
        <values>
          <value t="nil">
            <val>1</val>
          </value>
        </values>
      </ddeItem>
      <ddeItem name="@CTA[8-2-7-1-2-1221,F,1,#6]" advise="1">
        <values>
          <value t="nil">
            <val>1</val>
          </value>
        </values>
      </ddeItem>
      <ddeItem name="@CTA[8-2-7-1-2-1221,F,2,#6]" advise="1">
        <values>
          <value t="nil">
            <val>1</val>
          </value>
        </values>
      </ddeItem>
      <ddeItem name="@CTA[8-2-7-1-2-1221,F,3,#6]" advise="1">
        <values>
          <value t="nil">
            <val>1</val>
          </value>
        </values>
      </ddeItem>
      <ddeItem name="@CTA[8-2-7-1-2-1221,F,4,#6]" advise="1">
        <values>
          <value t="nil">
            <val>1</val>
          </value>
        </values>
      </ddeItem>
      <ddeItem name="@CTA[8-2-7-1-2-1221,F,5,#6]" advise="1">
        <values>
          <value t="nil">
            <val>1</val>
          </value>
        </values>
      </ddeItem>
      <ddeItem name="@CTA[8-2-7-1-2-1221,F,6,#6]" advise="1">
        <values>
          <value t="nil">
            <val>1</val>
          </value>
        </values>
      </ddeItem>
      <ddeItem name="@CTA[8-2-7-1-2-1221,F,7,#6]" advise="1">
        <values>
          <value t="nil">
            <val>1</val>
          </value>
        </values>
      </ddeItem>
      <ddeItem name="@CTA[8-2-7-1-2-1221,F,8,#6]" advise="1">
        <values>
          <value t="nil">
            <val>1</val>
          </value>
        </values>
      </ddeItem>
      <ddeItem name="@CTA[8-2-7-1-2-1221,F,9,#6]" advise="1">
        <values>
          <value t="nil">
            <val>1</val>
          </value>
        </values>
      </ddeItem>
      <ddeItem name="@CTA[8-2-7-1-3,F,#5]" advise="1">
        <values>
          <value>
            <val>407078.56999999908</val>
          </value>
        </values>
      </ddeItem>
      <ddeItem name="@CTA[8-2-7-1-3-1311,F,1,#6]" advise="1">
        <values>
          <value>
            <val>0</val>
          </value>
        </values>
      </ddeItem>
      <ddeItem name="@CTA[8-2-7-1-3-1311,F,2,#6]" advise="1">
        <values>
          <value>
            <val>0</val>
          </value>
        </values>
      </ddeItem>
      <ddeItem name="@CTA[8-2-7-1-3-1311,F,3,#6]" advise="1">
        <values>
          <value>
            <val>0</val>
          </value>
        </values>
      </ddeItem>
      <ddeItem name="@CTA[8-2-7-1-3-1311,F,4,#6]" advise="1">
        <values>
          <value>
            <val>0</val>
          </value>
        </values>
      </ddeItem>
      <ddeItem name="@CTA[8-2-7-1-3-1311,F,5,#6]" advise="1">
        <values>
          <value>
            <val>294368.14</val>
          </value>
        </values>
      </ddeItem>
      <ddeItem name="@CTA[8-2-7-1-3-1311,F,6,#6]" advise="1">
        <values>
          <value>
            <val>0</val>
          </value>
        </values>
      </ddeItem>
      <ddeItem name="@CTA[8-2-7-1-3-1311,F,7,#6]" advise="1">
        <values>
          <value>
            <val>0</val>
          </value>
        </values>
      </ddeItem>
      <ddeItem name="@CTA[8-2-7-1-3-1311,F,8,#6]" advise="1">
        <values>
          <value>
            <val>0</val>
          </value>
        </values>
      </ddeItem>
      <ddeItem name="@CTA[8-2-7-1-3-1311,F,9,#6]" advise="1">
        <values>
          <value>
            <val>0</val>
          </value>
        </values>
      </ddeItem>
      <ddeItem name="@CTA[8-2-7-1-3-1321,F,1,#6]" advise="1">
        <values>
          <value>
            <val>12066.599999999993</val>
          </value>
        </values>
      </ddeItem>
      <ddeItem name="@CTA[8-2-7-1-3-1321,F,2,#6]" advise="1">
        <values>
          <value>
            <val>0</val>
          </value>
        </values>
      </ddeItem>
      <ddeItem name="@CTA[8-2-7-1-3-1321,F,3,#6]" advise="1">
        <values>
          <value>
            <val>8086.6000000000022</val>
          </value>
        </values>
      </ddeItem>
      <ddeItem name="@CTA[8-2-7-1-3-1321,F,4,#6]" advise="1">
        <values>
          <value t="nil">
            <val>1</val>
          </value>
        </values>
      </ddeItem>
      <ddeItem name="@CTA[8-2-7-1-3-1321,F,5,#6]" advise="1">
        <values>
          <value>
            <val>-2.2737367544323206E-13</val>
          </value>
        </values>
      </ddeItem>
      <ddeItem name="@CTA[8-2-7-1-3-1321,F,6,#6]" advise="1">
        <values>
          <value>
            <val>0</val>
          </value>
        </values>
      </ddeItem>
      <ddeItem name="@CTA[8-2-7-1-3-1321,F,7,#6]" advise="1">
        <values>
          <value>
            <val>8454.1999999999971</val>
          </value>
        </values>
      </ddeItem>
      <ddeItem name="@CTA[8-2-7-1-3-1321,F,8,#6]" advise="1">
        <values>
          <value>
            <val>141.61999999999978</val>
          </value>
        </values>
      </ddeItem>
      <ddeItem name="@CTA[8-2-7-1-3-1321,F,9,#6]" advise="1">
        <values>
          <value>
            <val>361.56</val>
          </value>
        </values>
      </ddeItem>
      <ddeItem name="@CTA[8-2-7-1-3-1322,F,1,#6]" advise="1">
        <values>
          <value>
            <val>16698.620000000014</val>
          </value>
        </values>
      </ddeItem>
      <ddeItem name="@CTA[8-2-7-1-3-1322,F,2,#6]" advise="1">
        <values>
          <value>
            <val>3.637978807091713E-12</val>
          </value>
        </values>
      </ddeItem>
      <ddeItem name="@CTA[8-2-7-1-3-1322,F,3,#6]" advise="1">
        <values>
          <value>
            <val>2110.1899999999887</val>
          </value>
        </values>
      </ddeItem>
      <ddeItem name="@CTA[8-2-7-1-3-1322,F,4,#6]" advise="1">
        <values>
          <value>
            <val>3847.38</val>
          </value>
        </values>
      </ddeItem>
      <ddeItem name="@CTA[8-2-7-1-3-1322,F,5,#6]" advise="1">
        <values>
          <value>
            <val>9292.1499999999887</val>
          </value>
        </values>
      </ddeItem>
      <ddeItem name="@CTA[8-2-7-1-3-1322,F,6,#6]" advise="1">
        <values>
          <value>
            <val>1715.6200000000008</val>
          </value>
        </values>
      </ddeItem>
      <ddeItem name="@CTA[8-2-7-1-3-1322,F,7,#6]" advise="1">
        <values>
          <value>
            <val>4983.8499999999858</val>
          </value>
        </values>
      </ddeItem>
      <ddeItem name="@CTA[8-2-7-1-3-1322,F,8,#6]" advise="1">
        <values>
          <value>
            <val>3125.61</val>
          </value>
        </values>
      </ddeItem>
      <ddeItem name="@CTA[8-2-7-1-3-1322,F,9,#6]" advise="1">
        <values>
          <value>
            <val>4262.29</val>
          </value>
        </values>
      </ddeItem>
      <ddeItem name="@CTA[8-2-7-1-3-1323,F,1,#6]" advise="1">
        <values>
          <value>
            <val>233.2600000000582</val>
          </value>
        </values>
      </ddeItem>
      <ddeItem name="@CTA[8-2-7-1-3-1323,F,2,#6]" advise="1">
        <values>
          <value>
            <val>-1.4551915228366852E-11</val>
          </value>
        </values>
      </ddeItem>
      <ddeItem name="@CTA[8-2-7-1-3-1323,F,3,#6]" advise="1">
        <values>
          <value>
            <val>232.83999999999273</val>
          </value>
        </values>
      </ddeItem>
      <ddeItem name="@CTA[8-2-7-1-3-1323,F,4,#6]" advise="1">
        <values>
          <value>
            <val>0</val>
          </value>
        </values>
      </ddeItem>
      <ddeItem name="@CTA[8-2-7-1-3-1323,F,5,#6]" advise="1">
        <values>
          <value>
            <val>2567.4599999999855</val>
          </value>
        </values>
      </ddeItem>
      <ddeItem name="@CTA[8-2-7-1-3-1323,F,6,#6]" advise="1">
        <values>
          <value>
            <val>0</val>
          </value>
        </values>
      </ddeItem>
      <ddeItem name="@CTA[8-2-7-1-3-1323,F,7,#6]" advise="1">
        <values>
          <value>
            <val>0</val>
          </value>
        </values>
      </ddeItem>
      <ddeItem name="@CTA[8-2-7-1-3-1323,F,8,#6]" advise="1">
        <values>
          <value>
            <val>7.2759576141834259E-12</val>
          </value>
        </values>
      </ddeItem>
      <ddeItem name="@CTA[8-2-7-1-3-1323,F,9,#6]" advise="1">
        <values>
          <value>
            <val>0</val>
          </value>
        </values>
      </ddeItem>
      <ddeItem name="@CTA[8-2-7-1-3-1331,F,1,#6]" advise="1">
        <values>
          <value>
            <val>13833.099999999982</val>
          </value>
        </values>
      </ddeItem>
      <ddeItem name="@CTA[8-2-7-1-3-1331,F,2,#6]" advise="1">
        <values>
          <value t="nil">
            <val>1</val>
          </value>
        </values>
      </ddeItem>
      <ddeItem name="@CTA[8-2-7-1-3-1331,F,3,#6]" advise="1">
        <values>
          <value>
            <val>1094.9899999999936</val>
          </value>
        </values>
      </ddeItem>
      <ddeItem name="@CTA[8-2-7-1-3-1331,F,4,#6]" advise="1">
        <values>
          <value>
            <val>0</val>
          </value>
        </values>
      </ddeItem>
      <ddeItem name="@CTA[8-2-7-1-3-1331,F,5,#6]" advise="1">
        <values>
          <value>
            <val>0</val>
          </value>
        </values>
      </ddeItem>
      <ddeItem name="@CTA[8-2-7-1-3-1331,F,6,#6]" advise="1">
        <values>
          <value t="nil">
            <val>1</val>
          </value>
        </values>
      </ddeItem>
      <ddeItem name="@CTA[8-2-7-1-3-1331,F,7,#6]" advise="1">
        <values>
          <value>
            <val>316.74000000000206</val>
          </value>
        </values>
      </ddeItem>
      <ddeItem name="@CTA[8-2-7-1-3-1331,F,8,#6]" advise="1">
        <values>
          <value t="nil">
            <val>1</val>
          </value>
        </values>
      </ddeItem>
      <ddeItem name="@CTA[8-2-7-1-3-1331,F,9,#6]" advise="1">
        <values>
          <value t="nil">
            <val>1</val>
          </value>
        </values>
      </ddeItem>
      <ddeItem name="@CTA[8-2-7-1-3-1341,F,1,#6]" advise="1">
        <values>
          <value>
            <val>19285.75</val>
          </value>
        </values>
      </ddeItem>
      <ddeItem name="@CTA[8-2-7-1-3-1341,F,2,#6]" advise="1">
        <values>
          <value>
            <val>0</val>
          </value>
        </values>
      </ddeItem>
      <ddeItem name="@CTA[8-2-7-1-3-1341,F,3,#6]" advise="1">
        <values>
          <value>
            <val>0</val>
          </value>
        </values>
      </ddeItem>
      <ddeItem name="@CTA[8-2-7-1-3-1341,F,4,#6]" advise="1">
        <values>
          <value>
            <val>0</val>
          </value>
        </values>
      </ddeItem>
      <ddeItem name="@CTA[8-2-7-1-3-1341,F,5,#6]" advise="1">
        <values>
          <value>
            <val>-3.637978807091713E-12</val>
          </value>
        </values>
      </ddeItem>
      <ddeItem name="@CTA[8-2-7-1-3-1341,F,6,#6]" advise="1">
        <values>
          <value>
            <val>0</val>
          </value>
        </values>
      </ddeItem>
      <ddeItem name="@CTA[8-2-7-1-3-1341,F,7,#6]" advise="1">
        <values>
          <value>
            <val>0</val>
          </value>
        </values>
      </ddeItem>
      <ddeItem name="@CTA[8-2-7-1-3-1341,F,8,#6]" advise="1">
        <values>
          <value>
            <val>0</val>
          </value>
        </values>
      </ddeItem>
      <ddeItem name="@CTA[8-2-7-1-3-1341,F,9,#6]" advise="1">
        <values>
          <value>
            <val>0</val>
          </value>
        </values>
      </ddeItem>
      <ddeItem name="@CTA[8-2-7-1-4,F,#5]" advise="1">
        <values>
          <value>
            <val>411319.09000000113</val>
          </value>
        </values>
      </ddeItem>
      <ddeItem name="@CTA[8-2-7-1-4-1411,F,1,#6]" advise="1">
        <values>
          <value>
            <val>78183.23</val>
          </value>
        </values>
      </ddeItem>
      <ddeItem name="@CTA[8-2-7-1-4-1411,F,2,#6]" advise="1">
        <values>
          <value>
            <val>9563.5399999999936</val>
          </value>
        </values>
      </ddeItem>
      <ddeItem name="@CTA[8-2-7-1-4-1411,F,3,#6]" advise="1">
        <values>
          <value>
            <val>25731.079999999965</val>
          </value>
        </values>
      </ddeItem>
      <ddeItem name="@CTA[8-2-7-1-4-1411,F,4,#6]" advise="1">
        <values>
          <value>
            <val>16018.990000000009</val>
          </value>
        </values>
      </ddeItem>
      <ddeItem name="@CTA[8-2-7-1-4-1411,F,5,#6]" advise="1">
        <values>
          <value>
            <val>22702.260000000013</val>
          </value>
        </values>
      </ddeItem>
      <ddeItem name="@CTA[8-2-7-1-4-1411,F,6,#6]" advise="1">
        <values>
          <value>
            <val>5825.7200000000075</val>
          </value>
        </values>
      </ddeItem>
      <ddeItem name="@CTA[8-2-7-1-4-1411,F,7,#6]" advise="1">
        <values>
          <value>
            <val>20207.429999999986</val>
          </value>
        </values>
      </ddeItem>
      <ddeItem name="@CTA[8-2-7-1-4-1411,F,8,#6]" advise="1">
        <values>
          <value>
            <val>5528.8700000000026</val>
          </value>
        </values>
      </ddeItem>
      <ddeItem name="@CTA[8-2-7-1-4-1411,F,9,#6]" advise="1">
        <values>
          <value>
            <val>15181.869999999999</val>
          </value>
        </values>
      </ddeItem>
      <ddeItem name="@CTA[8-2-7-1-4-1421,F,1,#6]" advise="1">
        <values>
          <value>
            <val>35486.21</val>
          </value>
        </values>
      </ddeItem>
      <ddeItem name="@CTA[8-2-7-1-4-1421,F,2,#6]" advise="1">
        <values>
          <value>
            <val>6369.7900000000072</val>
          </value>
        </values>
      </ddeItem>
      <ddeItem name="@CTA[8-2-7-1-4-1421,F,3,#6]" advise="1">
        <values>
          <value>
            <val>12426.059999999981</val>
          </value>
        </values>
      </ddeItem>
      <ddeItem name="@CTA[8-2-7-1-4-1421,F,4,#6]" advise="1">
        <values>
          <value>
            <val>8511.6300000000028</val>
          </value>
        </values>
      </ddeItem>
      <ddeItem name="@CTA[8-2-7-1-4-1421,F,5,#6]" advise="1">
        <values>
          <value>
            <val>11157.940000000022</val>
          </value>
        </values>
      </ddeItem>
      <ddeItem name="@CTA[8-2-7-1-4-1421,F,6,#6]" advise="1">
        <values>
          <value>
            <val>3418.1099999999965</val>
          </value>
        </values>
      </ddeItem>
      <ddeItem name="@CTA[8-2-7-1-4-1421,F,7,#6]" advise="1">
        <values>
          <value>
            <val>10045.669999999996</val>
          </value>
        </values>
      </ddeItem>
      <ddeItem name="@CTA[8-2-7-1-4-1421,F,8,#6]" advise="1">
        <values>
          <value>
            <val>3183.699999999998</val>
          </value>
        </values>
      </ddeItem>
      <ddeItem name="@CTA[8-2-7-1-4-1421,F,9,#6]" advise="1">
        <values>
          <value>
            <val>8441.74</val>
          </value>
        </values>
      </ddeItem>
      <ddeItem name="@CTA[8-2-7-1-4-1431,F,1,#6]" advise="1">
        <values>
          <value>
            <val>36550.74</val>
          </value>
        </values>
      </ddeItem>
      <ddeItem name="@CTA[8-2-7-1-4-1431,F,2,#6]" advise="1">
        <values>
          <value>
            <val>6560.8899999999931</val>
          </value>
        </values>
      </ddeItem>
      <ddeItem name="@CTA[8-2-7-1-4-1431,F,3,#6]" advise="1">
        <values>
          <value>
            <val>12422.280000000015</val>
          </value>
        </values>
      </ddeItem>
      <ddeItem name="@CTA[8-2-7-1-4-1431,F,4,#6]" advise="1">
        <values>
          <value>
            <val>8766.9899999999925</val>
          </value>
        </values>
      </ddeItem>
      <ddeItem name="@CTA[8-2-7-1-4-1431,F,5,#6]" advise="1">
        <values>
          <value>
            <val>11492.699999999979</val>
          </value>
        </values>
      </ddeItem>
      <ddeItem name="@CTA[8-2-7-1-4-1431,F,6,#6]" advise="1">
        <values>
          <value>
            <val>3520.65</val>
          </value>
        </values>
      </ddeItem>
      <ddeItem name="@CTA[8-2-7-1-4-1431,F,7,#6]" advise="1">
        <values>
          <value>
            <val>10347.02</val>
          </value>
        </values>
      </ddeItem>
      <ddeItem name="@CTA[8-2-7-1-4-1431,F,8,#6]" advise="1">
        <values>
          <value>
            <val>3279.2099999999964</val>
          </value>
        </values>
      </ddeItem>
      <ddeItem name="@CTA[8-2-7-1-4-1431,F,9,#6]" advise="1">
        <values>
          <value>
            <val>8695</val>
          </value>
        </values>
      </ddeItem>
      <ddeItem name="@CTA[8-2-7-1-4-1441,F,1,#6]" advise="1">
        <values>
          <value>
            <val>4791.3300000000036</val>
          </value>
        </values>
      </ddeItem>
      <ddeItem name="@CTA[8-2-7-1-4-1441,F,2,#6]" advise="1">
        <values>
          <value>
            <val>779.98999999999955</val>
          </value>
        </values>
      </ddeItem>
      <ddeItem name="@CTA[8-2-7-1-4-1441,F,3,#6]" advise="1">
        <values>
          <value>
            <val>1671.3999999999996</val>
          </value>
        </values>
      </ddeItem>
      <ddeItem name="@CTA[8-2-7-1-4-1441,F,4,#6]" advise="1">
        <values>
          <value>
            <val>779.99</val>
          </value>
        </values>
      </ddeItem>
      <ddeItem name="@CTA[8-2-7-1-4-1441,F,5,#6]" advise="1">
        <values>
          <value>
            <val>1337.110000000001</val>
          </value>
        </values>
      </ddeItem>
      <ddeItem name="@CTA[8-2-7-1-4-1441,F,6,#6]" advise="1">
        <values>
          <value>
            <val>222.85000000000022</val>
          </value>
        </values>
      </ddeItem>
      <ddeItem name="@CTA[8-2-7-1-4-1441,F,7,#6]" advise="1">
        <values>
          <value>
            <val>1337.1099999999992</val>
          </value>
        </values>
      </ddeItem>
      <ddeItem name="@CTA[8-2-7-1-4-1441,F,8,#6]" advise="1">
        <values>
          <value>
            <val>557.14000000000055</val>
          </value>
        </values>
      </ddeItem>
      <ddeItem name="@CTA[8-2-7-1-4-1441,F,9,#6]" advise="1">
        <values>
          <value>
            <val>222.84999999999954</val>
          </value>
        </values>
      </ddeItem>
      <ddeItem name="@CTA[8-2-7-1-5,F,#5]" advise="1">
        <values>
          <value>
            <val>599503.76999999979</val>
          </value>
        </values>
      </ddeItem>
      <ddeItem name="@CTA[8-2-7-1-5-1521,F,1,#6]" advise="1">
        <values>
          <value>
            <val>-3.637978807091713E-12</val>
          </value>
        </values>
      </ddeItem>
      <ddeItem name="@CTA[8-2-7-1-5-1521,F,2,#6]" advise="1">
        <values>
          <value>
            <val>0</val>
          </value>
        </values>
      </ddeItem>
      <ddeItem name="@CTA[8-2-7-1-5-1521,F,3,#6]" advise="1">
        <values>
          <value>
            <val>0</val>
          </value>
        </values>
      </ddeItem>
      <ddeItem name="@CTA[8-2-7-1-5-1521,F,4,#6]" advise="1">
        <values>
          <value>
            <val>0</val>
          </value>
        </values>
      </ddeItem>
      <ddeItem name="@CTA[8-2-7-1-5-1521,F,5,#6]" advise="1">
        <values>
          <value>
            <val>0</val>
          </value>
        </values>
      </ddeItem>
      <ddeItem name="@CTA[8-2-7-1-5-1521,F,6,#6]" advise="1">
        <values>
          <value t="nil">
            <val>1</val>
          </value>
        </values>
      </ddeItem>
      <ddeItem name="@CTA[8-2-7-1-5-1521,F,7,#6]" advise="1">
        <values>
          <value>
            <val>0</val>
          </value>
        </values>
      </ddeItem>
      <ddeItem name="@CTA[8-2-7-1-5-1521,F,8,#6]" advise="1">
        <values>
          <value>
            <val>0</val>
          </value>
        </values>
      </ddeItem>
      <ddeItem name="@CTA[8-2-7-1-5-1521,F,9,#6]" advise="1">
        <values>
          <value>
            <val>0</val>
          </value>
        </values>
      </ddeItem>
      <ddeItem name="@CTA[8-2-7-1-5-1522,F,1,#6]" advise="1">
        <values>
          <value t="nil">
            <val>1</val>
          </value>
        </values>
      </ddeItem>
      <ddeItem name="@CTA[8-2-7-1-5-1522,F,2,#6]" advise="1">
        <values>
          <value>
            <val>0</val>
          </value>
        </values>
      </ddeItem>
      <ddeItem name="@CTA[8-2-7-1-5-1522,F,3,#6]" advise="1">
        <values>
          <value t="nil">
            <val>1</val>
          </value>
        </values>
      </ddeItem>
      <ddeItem name="@CTA[8-2-7-1-5-1522,F,4,#6]" advise="1">
        <values>
          <value t="nil">
            <val>1</val>
          </value>
        </values>
      </ddeItem>
      <ddeItem name="@CTA[8-2-7-1-5-1522,F,5,#6]" advise="1">
        <values>
          <value t="nil">
            <val>1</val>
          </value>
        </values>
      </ddeItem>
      <ddeItem name="@CTA[8-2-7-1-5-1522,F,6,#6]" advise="1">
        <values>
          <value t="nil">
            <val>1</val>
          </value>
        </values>
      </ddeItem>
      <ddeItem name="@CTA[8-2-7-1-5-1522,F,7,#6]" advise="1">
        <values>
          <value t="nil">
            <val>1</val>
          </value>
        </values>
      </ddeItem>
      <ddeItem name="@CTA[8-2-7-1-5-1522,F,8,#6]" advise="1">
        <values>
          <value t="nil">
            <val>1</val>
          </value>
        </values>
      </ddeItem>
      <ddeItem name="@CTA[8-2-7-1-5-1522,F,9,#6]" advise="1">
        <values>
          <value t="nil">
            <val>1</val>
          </value>
        </values>
      </ddeItem>
      <ddeItem name="@CTA[8-2-7-1-5-1541,F,1,#6]" advise="1">
        <values>
          <value>
            <val>170079.94000000012</val>
          </value>
        </values>
      </ddeItem>
      <ddeItem name="@CTA[8-2-7-1-5-1541,F,2,#6]" advise="1">
        <values>
          <value>
            <val>31926.839999999989</val>
          </value>
        </values>
      </ddeItem>
      <ddeItem name="@CTA[8-2-7-1-5-1541,F,3,#6]" advise="1">
        <values>
          <value>
            <val>56872.130000000019</val>
          </value>
        </values>
      </ddeItem>
      <ddeItem name="@CTA[8-2-7-1-5-1541,F,4,#6]" advise="1">
        <values>
          <value>
            <val>42053.969999999972</val>
          </value>
        </values>
      </ddeItem>
      <ddeItem name="@CTA[8-2-7-1-5-1541,F,5,#6]" advise="1">
        <values>
          <value>
            <val>55954.41999999994</val>
          </value>
        </values>
      </ddeItem>
      <ddeItem name="@CTA[8-2-7-1-5-1541,F,6,#6]" advise="1">
        <values>
          <value>
            <val>16624.229999999949</val>
          </value>
        </values>
      </ddeItem>
      <ddeItem name="@CTA[8-2-7-1-5-1541,F,7,#6]" advise="1">
        <values>
          <value>
            <val>51148.490000000063</val>
          </value>
        </values>
      </ddeItem>
      <ddeItem name="@CTA[8-2-7-1-5-1541,F,8,#6]" advise="1">
        <values>
          <value>
            <val>15101.369999999999</val>
          </value>
        </values>
      </ddeItem>
      <ddeItem name="@CTA[8-2-7-1-5-1541,F,9,#6]" advise="1">
        <values>
          <value>
            <val>34363.199999999997</val>
          </value>
        </values>
      </ddeItem>
      <ddeItem name="@CTA[8-2-7-1-5-1542,F,1,#6]" advise="1">
        <values>
          <value>
            <val>48353.430000000029</val>
          </value>
        </values>
      </ddeItem>
      <ddeItem name="@CTA[8-2-7-1-5-1542,F,2,#6]" advise="1">
        <values>
          <value>
            <val>1800.7899999999945</val>
          </value>
        </values>
      </ddeItem>
      <ddeItem name="@CTA[8-2-7-1-5-1542,F,3,#6]" advise="1">
        <values>
          <value>
            <val>9748.9899999999925</val>
          </value>
        </values>
      </ddeItem>
      <ddeItem name="@CTA[8-2-7-1-5-1542,F,4,#6]" advise="1">
        <values>
          <value>
            <val>11215.939999999999</val>
          </value>
        </values>
      </ddeItem>
      <ddeItem name="@CTA[8-2-7-1-5-1542,F,5,#6]" advise="1">
        <values>
          <value>
            <val>17977.600000000028</val>
          </value>
        </values>
      </ddeItem>
      <ddeItem name="@CTA[8-2-7-1-5-1542,F,6,#6]" advise="1">
        <values>
          <value>
            <val>3601.3599999999983</val>
          </value>
        </values>
      </ddeItem>
      <ddeItem name="@CTA[8-2-7-1-5-1542,F,7,#6]" advise="1">
        <values>
          <value>
            <val>16539.910000000007</val>
          </value>
        </values>
      </ddeItem>
      <ddeItem name="@CTA[8-2-7-1-5-1542,F,8,#6]" advise="1">
        <values>
          <value>
            <val>3541.1599999999985</val>
          </value>
        </values>
      </ddeItem>
      <ddeItem name="@CTA[8-2-7-1-5-1542,F,9,#6]" advise="1">
        <values>
          <value>
            <val>4.5474735088646412E-13</val>
          </value>
        </values>
      </ddeItem>
      <ddeItem name="@CTA[8-2-7-1-5-1543,F,1,#6]" advise="1">
        <values>
          <value>
            <val>1.8189894035458565E-12</val>
          </value>
        </values>
      </ddeItem>
      <ddeItem name="@CTA[8-2-7-1-5-1543,F,2,#6]" advise="1">
        <values>
          <value>
            <val>0</val>
          </value>
        </values>
      </ddeItem>
      <ddeItem name="@CTA[8-2-7-1-5-1543,F,3,#6]" advise="1">
        <values>
          <value>
            <val>0</val>
          </value>
        </values>
      </ddeItem>
      <ddeItem name="@CTA[8-2-7-1-5-1543,F,4,#6]" advise="1">
        <values>
          <value t="nil">
            <val>1</val>
          </value>
        </values>
      </ddeItem>
      <ddeItem name="@CTA[8-2-7-1-5-1543,F,5,#6]" advise="1">
        <values>
          <value>
            <val>0</val>
          </value>
        </values>
      </ddeItem>
      <ddeItem name="@CTA[8-2-7-1-5-1543,F,6,#6]" advise="1">
        <values>
          <value t="nil">
            <val>1</val>
          </value>
        </values>
      </ddeItem>
      <ddeItem name="@CTA[8-2-7-1-5-1543,F,7,#6]" advise="1">
        <values>
          <value>
            <val>0</val>
          </value>
        </values>
      </ddeItem>
      <ddeItem name="@CTA[8-2-7-1-5-1543,F,8,#6]" advise="1">
        <values>
          <value t="nil">
            <val>1</val>
          </value>
        </values>
      </ddeItem>
      <ddeItem name="@CTA[8-2-7-1-5-1543,F,9,#6]" advise="1">
        <values>
          <value t="nil">
            <val>1</val>
          </value>
        </values>
      </ddeItem>
      <ddeItem name="@CTA[8-2-7-1-5-1544,F,1,#6]" advise="1">
        <values>
          <value>
            <val>9100</val>
          </value>
        </values>
      </ddeItem>
      <ddeItem name="@CTA[8-2-7-1-5-1544,F,2,#6]" advise="1">
        <values>
          <value t="nil">
            <val>1</val>
          </value>
        </values>
      </ddeItem>
      <ddeItem name="@CTA[8-2-7-1-5-1544,F,3,#6]" advise="1">
        <values>
          <value t="nil">
            <val>1</val>
          </value>
        </values>
      </ddeItem>
      <ddeItem name="@CTA[8-2-7-1-5-1544,F,4,#6]" advise="1">
        <values>
          <value>
            <val>0</val>
          </value>
        </values>
      </ddeItem>
      <ddeItem name="@CTA[8-2-7-1-5-1544,F,5,#6]" advise="1">
        <values>
          <value>
            <val>2800</val>
          </value>
        </values>
      </ddeItem>
      <ddeItem name="@CTA[8-2-7-1-5-1544,F,6,#6]" advise="1">
        <values>
          <value t="nil">
            <val>1</val>
          </value>
        </values>
      </ddeItem>
      <ddeItem name="@CTA[8-2-7-1-5-1544,F,7,#6]" advise="1">
        <values>
          <value>
            <val>700</val>
          </value>
        </values>
      </ddeItem>
      <ddeItem name="@CTA[8-2-7-1-5-1544,F,8,#6]" advise="1">
        <values>
          <value t="nil">
            <val>1</val>
          </value>
        </values>
      </ddeItem>
      <ddeItem name="@CTA[8-2-7-1-5-1544,F,9,#6]" advise="1">
        <values>
          <value t="nil">
            <val>1</val>
          </value>
        </values>
      </ddeItem>
      <ddeItem name="@CTA[8-2-7-1-6,F,#5]" advise="1">
        <values>
          <value t="nil">
            <val>1</val>
          </value>
        </values>
      </ddeItem>
      <ddeItem name="@CTA[8-2-7-1-7,F,#5]" advise="1">
        <values>
          <value t="nil">
            <val>1</val>
          </value>
        </values>
      </ddeItem>
      <ddeItem name="@CTA[8-2-7-2,F,#4]" advise="1">
        <values>
          <value>
            <val>1160788.8099999987</val>
          </value>
        </values>
      </ddeItem>
      <ddeItem name="@CTA[8-2-7-2-1,F,#5]" advise="1">
        <values>
          <value>
            <val>41368.419999999955</val>
          </value>
        </values>
      </ddeItem>
      <ddeItem name="@CTA[8-2-7-2-1-2111,F,1,#6]" advise="1">
        <values>
          <value>
            <val>1056.640000000001</val>
          </value>
        </values>
      </ddeItem>
      <ddeItem name="@CTA[8-2-7-2-1-2111,F,2,#6]" advise="1">
        <values>
          <value>
            <val>2211.7199999999975</val>
          </value>
        </values>
      </ddeItem>
      <ddeItem name="@CTA[8-2-7-2-1-2111,F,3,#6]" advise="1">
        <values>
          <value>
            <val>868.88000000000136</val>
          </value>
        </values>
      </ddeItem>
      <ddeItem name="@CTA[8-2-7-2-1-2111,F,4,#6]" advise="1">
        <values>
          <value>
            <val>7742.5900000000056</val>
          </value>
        </values>
      </ddeItem>
      <ddeItem name="@CTA[8-2-7-2-1-2111,F,5,#6]" advise="1">
        <values>
          <value>
            <val>1263.6500000000001</val>
          </value>
        </values>
      </ddeItem>
      <ddeItem name="@CTA[8-2-7-2-1-2111,F,6,#6]" advise="1">
        <values>
          <value>
            <val>432.2999999999991</val>
          </value>
        </values>
      </ddeItem>
      <ddeItem name="@CTA[8-2-7-2-1-2111,F,7,#6]" advise="1">
        <values>
          <value>
            <val>267.67000000000093</val>
          </value>
        </values>
      </ddeItem>
      <ddeItem name="@CTA[8-2-7-2-1-2111,F,8,#6]" advise="1">
        <values>
          <value>
            <val>166.11999999999995</val>
          </value>
        </values>
      </ddeItem>
      <ddeItem name="@CTA[8-2-7-2-1-2111,F,9,#6]" advise="1">
        <values>
          <value>
            <val>1997.9500000000003</val>
          </value>
        </values>
      </ddeItem>
      <ddeItem name="@CTA[8-2-7-2-1-2121,F,1,#6]" advise="1">
        <values>
          <value>
            <val>123.42000000000033</val>
          </value>
        </values>
      </ddeItem>
      <ddeItem name="@CTA[8-2-7-2-1-2121,F,2,#6]" advise="1">
        <values>
          <value>
            <val>380.52999999999986</val>
          </value>
        </values>
      </ddeItem>
      <ddeItem name="@CTA[8-2-7-2-1-2121,F,3,#6]" advise="1">
        <values>
          <value>
            <val>498.97000000000025</val>
          </value>
        </values>
      </ddeItem>
      <ddeItem name="@CTA[8-2-7-2-1-2121,F,4,#6]" advise="1">
        <values>
          <value>
            <val>1934.6599999999992</val>
          </value>
        </values>
      </ddeItem>
      <ddeItem name="@CTA[8-2-7-2-1-2121,F,5,#6]" advise="1">
        <values>
          <value>
            <val>941.47999999999956</val>
          </value>
        </values>
      </ddeItem>
      <ddeItem name="@CTA[8-2-7-2-1-2121,F,6,#6]" advise="1">
        <values>
          <value>
            <val>7.503331289626658E-12</val>
          </value>
        </values>
      </ddeItem>
      <ddeItem name="@CTA[8-2-7-2-1-2121,F,7,#6]" advise="1">
        <values>
          <value>
            <val>42.79999999999994</val>
          </value>
        </values>
      </ddeItem>
      <ddeItem name="@CTA[8-2-7-2-1-2121,F,8,#6]" advise="1">
        <values>
          <value>
            <val>85.590000000000089</val>
          </value>
        </values>
      </ddeItem>
      <ddeItem name="@CTA[8-2-7-2-1-2121,F,9,#6]" advise="1">
        <values>
          <value>
            <val>491.46</val>
          </value>
        </values>
      </ddeItem>
      <ddeItem name="@CTA[8-2-7-2-1-2131,F,1,#6]" advise="1">
        <values>
          <value t="nil">
            <val>1</val>
          </value>
        </values>
      </ddeItem>
      <ddeItem name="@CTA[8-2-7-2-1-2131,F,2,#6]" advise="1">
        <values>
          <value t="nil">
            <val>1</val>
          </value>
        </values>
      </ddeItem>
      <ddeItem name="@CTA[8-2-7-2-1-2131,F,3,#6]" advise="1">
        <values>
          <value t="nil">
            <val>1</val>
          </value>
        </values>
      </ddeItem>
      <ddeItem name="@CTA[8-2-7-2-1-2131,F,4,#6]" advise="1">
        <values>
          <value t="nil">
            <val>1</val>
          </value>
        </values>
      </ddeItem>
      <ddeItem name="@CTA[8-2-7-2-1-2131,F,5,#6]" advise="1">
        <values>
          <value t="nil">
            <val>1</val>
          </value>
        </values>
      </ddeItem>
      <ddeItem name="@CTA[8-2-7-2-1-2131,F,6,#6]" advise="1">
        <values>
          <value t="nil">
            <val>1</val>
          </value>
        </values>
      </ddeItem>
      <ddeItem name="@CTA[8-2-7-2-1-2131,F,7,#6]" advise="1">
        <values>
          <value t="nil">
            <val>1</val>
          </value>
        </values>
      </ddeItem>
      <ddeItem name="@CTA[8-2-7-2-1-2131,F,8,#6]" advise="1">
        <values>
          <value t="nil">
            <val>1</val>
          </value>
        </values>
      </ddeItem>
      <ddeItem name="@CTA[8-2-7-2-1-2131,F,9,#6]" advise="1">
        <values>
          <value t="nil">
            <val>1</val>
          </value>
        </values>
      </ddeItem>
      <ddeItem name="@CTA[8-2-7-2-1-2141,F,1,#6]" advise="1">
        <values>
          <value>
            <val>0</val>
          </value>
        </values>
      </ddeItem>
      <ddeItem name="@CTA[8-2-7-2-1-2141,F,2,#6]" advise="1">
        <values>
          <value>
            <val>0</val>
          </value>
        </values>
      </ddeItem>
      <ddeItem name="@CTA[8-2-7-2-1-2141,F,3,#6]" advise="1">
        <values>
          <value>
            <val>9.0949470177292824E-13</val>
          </value>
        </values>
      </ddeItem>
      <ddeItem name="@CTA[8-2-7-2-1-2141,F,4,#6]" advise="1">
        <values>
          <value>
            <val>0</val>
          </value>
        </values>
      </ddeItem>
      <ddeItem name="@CTA[8-2-7-2-1-2141,F,5,#6]" advise="1">
        <values>
          <value>
            <val>1.8189894035458565E-12</val>
          </value>
        </values>
      </ddeItem>
      <ddeItem name="@CTA[8-2-7-2-1-2141,F,6,#6]" advise="1">
        <values>
          <value>
            <val>10850.62999999999</val>
          </value>
        </values>
      </ddeItem>
      <ddeItem name="@CTA[8-2-7-2-1-2141,F,7,#6]" advise="1">
        <values>
          <value>
            <val>0</val>
          </value>
        </values>
      </ddeItem>
      <ddeItem name="@CTA[8-2-7-2-1-2141,F,8,#6]" advise="1">
        <values>
          <value>
            <val>0</val>
          </value>
        </values>
      </ddeItem>
      <ddeItem name="@CTA[8-2-7-2-1-2141,F,9,#6]" advise="1">
        <values>
          <value>
            <val>0</val>
          </value>
        </values>
      </ddeItem>
      <ddeItem name="@CTA[8-2-7-2-1-2151,F,1,#6]" advise="1">
        <values>
          <value>
            <val>0</val>
          </value>
        </values>
      </ddeItem>
      <ddeItem name="@CTA[8-2-7-2-1-2151,F,2,#6]" advise="1">
        <values>
          <value>
            <val>0</val>
          </value>
        </values>
      </ddeItem>
      <ddeItem name="@CTA[8-2-7-2-1-2151,F,3,#6]" advise="1">
        <values>
          <value>
            <val>0</val>
          </value>
        </values>
      </ddeItem>
      <ddeItem name="@CTA[8-2-7-2-1-2151,F,4,#6]" advise="1">
        <values>
          <value t="nil">
            <val>1</val>
          </value>
        </values>
      </ddeItem>
      <ddeItem name="@CTA[8-2-7-2-1-2151,F,5,#6]" advise="1">
        <values>
          <value>
            <val>0</val>
          </value>
        </values>
      </ddeItem>
      <ddeItem name="@CTA[8-2-7-2-1-2151,F,6,#6]" advise="1">
        <values>
          <value t="nil">
            <val>1</val>
          </value>
        </values>
      </ddeItem>
      <ddeItem name="@CTA[8-2-7-2-1-2151,F,7,#6]" advise="1">
        <values>
          <value t="nil">
            <val>1</val>
          </value>
        </values>
      </ddeItem>
      <ddeItem name="@CTA[8-2-7-2-1-2151,F,8,#6]" advise="1">
        <values>
          <value>
            <val>0</val>
          </value>
        </values>
      </ddeItem>
      <ddeItem name="@CTA[8-2-7-2-1-2151,F,9,#6]" advise="1">
        <values>
          <value t="nil">
            <val>1</val>
          </value>
        </values>
      </ddeItem>
      <ddeItem name="@CTA[8-2-7-2-1-2161,F,1,#6]" advise="1">
        <values>
          <value>
            <val>362.4200000000003</val>
          </value>
        </values>
      </ddeItem>
      <ddeItem name="@CTA[8-2-7-2-1-2161,F,2,#6]" advise="1">
        <values>
          <value>
            <val>9.0499999999999936</val>
          </value>
        </values>
      </ddeItem>
      <ddeItem name="@CTA[8-2-7-2-1-2161,F,3,#6]" advise="1">
        <values>
          <value>
            <val>3971.2899999999981</val>
          </value>
        </values>
      </ddeItem>
      <ddeItem name="@CTA[8-2-7-2-1-2161,F,4,#6]" advise="1">
        <values>
          <value>
            <val>19.110000000000021</val>
          </value>
        </values>
      </ddeItem>
      <ddeItem name="@CTA[8-2-7-2-1-2161,F,5,#6]" advise="1">
        <values>
          <value>
            <val>0</val>
          </value>
        </values>
      </ddeItem>
      <ddeItem name="@CTA[8-2-7-2-1-2161,F,6,#6]" advise="1">
        <values>
          <value>
            <val>0</val>
          </value>
        </values>
      </ddeItem>
      <ddeItem name="@CTA[8-2-7-2-1-2161,F,7,#6]" advise="1">
        <values>
          <value>
            <val>1199.4900000000009</val>
          </value>
        </values>
      </ddeItem>
      <ddeItem name="@CTA[8-2-7-2-1-2161,F,8,#6]" advise="1">
        <values>
          <value>
            <val>0</val>
          </value>
        </values>
      </ddeItem>
      <ddeItem name="@CTA[8-2-7-2-1-2161,F,9,#6]" advise="1">
        <values>
          <value t="nil">
            <val>1</val>
          </value>
        </values>
      </ddeItem>
      <ddeItem name="@CTA[8-2-7-2-1-2171,F,1,#6]" advise="1">
        <values>
          <value>
            <val>0</val>
          </value>
        </values>
      </ddeItem>
      <ddeItem name="@CTA[8-2-7-2-1-2171,F,2,#6]" advise="1">
        <values>
          <value>
            <val>0</val>
          </value>
        </values>
      </ddeItem>
      <ddeItem name="@CTA[8-2-7-2-1-2171,F,3,#6]" advise="1">
        <values>
          <value>
            <val>0</val>
          </value>
        </values>
      </ddeItem>
      <ddeItem name="@CTA[8-2-7-2-1-2171,F,4,#6]" advise="1">
        <values>
          <value>
            <val>4450</val>
          </value>
        </values>
      </ddeItem>
      <ddeItem name="@CTA[8-2-7-2-1-2171,F,5,#6]" advise="1">
        <values>
          <value>
            <val>0</val>
          </value>
        </values>
      </ddeItem>
      <ddeItem name="@CTA[8-2-7-2-1-2171,F,6,#6]" advise="1">
        <values>
          <value t="nil">
            <val>1</val>
          </value>
        </values>
      </ddeItem>
      <ddeItem name="@CTA[8-2-7-2-1-2171,F,7,#6]" advise="1">
        <values>
          <value>
            <val>0</val>
          </value>
        </values>
      </ddeItem>
      <ddeItem name="@CTA[8-2-7-2-1-2171,F,8,#6]" advise="1">
        <values>
          <value>
            <val>-7.2759576141834259E-12</val>
          </value>
        </values>
      </ddeItem>
      <ddeItem name="@CTA[8-2-7-2-1-2171,F,9,#6]" advise="1">
        <values>
          <value t="nil">
            <val>1</val>
          </value>
        </values>
      </ddeItem>
      <ddeItem name="@CTA[8-2-7-2-2,F,#5]" advise="1">
        <values>
          <value>
            <val>15528.889999999968</val>
          </value>
        </values>
      </ddeItem>
      <ddeItem name="@CTA[8-2-7-2-2-2211,F,1,#6]" advise="1">
        <values>
          <value>
            <val>3677.0000000000055</val>
          </value>
        </values>
      </ddeItem>
      <ddeItem name="@CTA[8-2-7-2-2-2211,F,2,#6]" advise="1">
        <values>
          <value>
            <val>0</val>
          </value>
        </values>
      </ddeItem>
      <ddeItem name="@CTA[8-2-7-2-2-2211,F,3,#6]" advise="1">
        <values>
          <value>
            <val>761</val>
          </value>
        </values>
      </ddeItem>
      <ddeItem name="@CTA[8-2-7-2-2-2211,F,4,#6]" advise="1">
        <values>
          <value>
            <val>1.2079226507921703E-13</val>
          </value>
        </values>
      </ddeItem>
      <ddeItem name="@CTA[8-2-7-2-2-2211,F,5,#6]" advise="1">
        <values>
          <value>
            <val>7.1054273576010019E-15</val>
          </value>
        </values>
      </ddeItem>
      <ddeItem name="@CTA[8-2-7-2-2-2211,F,6,#6]" advise="1">
        <values>
          <value>
            <val>7.1054273576010019E-15</val>
          </value>
        </values>
      </ddeItem>
      <ddeItem name="@CTA[8-2-7-2-2-2211,F,7,#6]" advise="1">
        <values>
          <value>
            <val>1.1368683772161603E-13</val>
          </value>
        </values>
      </ddeItem>
      <ddeItem name="@CTA[8-2-7-2-2-2211,F,8,#6]" advise="1">
        <values>
          <value>
            <val>390</val>
          </value>
        </values>
      </ddeItem>
      <ddeItem name="@CTA[8-2-7-2-2-2211,F,9,#6]" advise="1">
        <values>
          <value>
            <val>0</val>
          </value>
        </values>
      </ddeItem>
      <ddeItem name="@CTA[8-2-7-2-2-2221,F,3,#6]" advise="1">
        <values>
          <value>
            <val>1298.73</val>
          </value>
        </values>
      </ddeItem>
      <ddeItem name="@CTA[8-2-7-2-2-2221,F,7,#6]" advise="1">
        <values>
          <value>
            <val>545.67999999999961</val>
          </value>
        </values>
      </ddeItem>
      <ddeItem name="@CTA[8-2-7-2-2-2231,F,1,#6]" advise="1">
        <values>
          <value>
            <val>326.96999999999986</val>
          </value>
        </values>
      </ddeItem>
      <ddeItem name="@CTA[8-2-7-2-2-2231,F,2,#6]" advise="1">
        <values>
          <value>
            <val>6181.3500000000022</val>
          </value>
        </values>
      </ddeItem>
      <ddeItem name="@CTA[8-2-7-2-2-2231,F,3,#6]" advise="1">
        <values>
          <value>
            <val>326.9699999999994</val>
          </value>
        </values>
      </ddeItem>
      <ddeItem name="@CTA[8-2-7-2-2-2231,F,4,#6]" advise="1">
        <values>
          <value>
            <val>386.43999999999988</val>
          </value>
        </values>
      </ddeItem>
      <ddeItem name="@CTA[8-2-7-2-2-2231,F,5,#6]" advise="1">
        <values>
          <value>
            <val>326.94999999999965</val>
          </value>
        </values>
      </ddeItem>
      <ddeItem name="@CTA[8-2-7-2-2-2231,F,6,#6]" advise="1">
        <values>
          <value>
            <val>326.93999999999977</val>
          </value>
        </values>
      </ddeItem>
      <ddeItem name="@CTA[8-2-7-2-2-2231,F,7,#6]" advise="1">
        <values>
          <value>
            <val>326.94999999999976</val>
          </value>
        </values>
      </ddeItem>
      <ddeItem name="@CTA[8-2-7-2-2-2231,F,8,#6]" advise="1">
        <values>
          <value>
            <val>326.93999999999932</val>
          </value>
        </values>
      </ddeItem>
      <ddeItem name="@CTA[8-2-7-2-2-2231,F,9,#6]" advise="1">
        <values>
          <value>
            <val>326.96999999999986</val>
          </value>
        </values>
      </ddeItem>
      <ddeItem name="@CTA[8-2-7-2-3,F,#5]" advise="1">
        <values>
          <value t="nil">
            <val>1</val>
          </value>
        </values>
      </ddeItem>
      <ddeItem name="@CTA[8-2-7-2-4,F,#5]" advise="1">
        <values>
          <value>
            <val>672045.47000000125</val>
          </value>
        </values>
      </ddeItem>
      <ddeItem name="@CTA[8-2-7-2-4-2411,F,1,#6]" advise="1">
        <values>
          <value>
            <val>0</val>
          </value>
        </values>
      </ddeItem>
      <ddeItem name="@CTA[8-2-7-2-4-2411,F,2,#6]" advise="1">
        <values>
          <value>
            <val>0</val>
          </value>
        </values>
      </ddeItem>
      <ddeItem name="@CTA[8-2-7-2-4-2411,F,3,#6]" advise="1">
        <values>
          <value>
            <val>0</val>
          </value>
        </values>
      </ddeItem>
      <ddeItem name="@CTA[8-2-7-2-4-2411,F,4,#6]" advise="1">
        <values>
          <value>
            <val>0</val>
          </value>
        </values>
      </ddeItem>
      <ddeItem name="@CTA[8-2-7-2-4-2411,F,5,#6]" advise="1">
        <values>
          <value t="nil">
            <val>1</val>
          </value>
        </values>
      </ddeItem>
      <ddeItem name="@CTA[8-2-7-2-4-2411,F,6,#6]" advise="1">
        <values>
          <value t="nil">
            <val>1</val>
          </value>
        </values>
      </ddeItem>
      <ddeItem name="@CTA[8-2-7-2-4-2411,F,7,#6]" advise="1">
        <values>
          <value>
            <val>0</val>
          </value>
        </values>
      </ddeItem>
      <ddeItem name="@CTA[8-2-7-2-4-2411,F,8,#6]" advise="1">
        <values>
          <value>
            <val>0</val>
          </value>
        </values>
      </ddeItem>
      <ddeItem name="@CTA[8-2-7-2-4-2411,F,9,#6]" advise="1">
        <values>
          <value t="nil">
            <val>1</val>
          </value>
        </values>
      </ddeItem>
      <ddeItem name="@CTA[8-2-7-2-4-2461,F,1,#6]" advise="1">
        <values>
          <value>
            <val>1630</val>
          </value>
        </values>
      </ddeItem>
      <ddeItem name="@CTA[8-2-7-2-4-2461,F,2,#6]" advise="1">
        <values>
          <value>
            <val>0</val>
          </value>
        </values>
      </ddeItem>
      <ddeItem name="@CTA[8-2-7-2-4-2461,F,3,#6]" advise="1">
        <values>
          <value>
            <val>2.8421709430404007E-14</val>
          </value>
        </values>
      </ddeItem>
      <ddeItem name="@CTA[8-2-7-2-4-2461,F,4,#6]" advise="1">
        <values>
          <value>
            <val>2.5579538487363607E-13</val>
          </value>
        </values>
      </ddeItem>
      <ddeItem name="@CTA[8-2-7-2-4-2461,F,5,#6]" advise="1">
        <values>
          <value>
            <val>5.6843418860808015E-14</val>
          </value>
        </values>
      </ddeItem>
      <ddeItem name="@CTA[8-2-7-2-4-2461,F,6,#6]" advise="1">
        <values>
          <value>
            <val>-4.5474735088646412E-12</val>
          </value>
        </values>
      </ddeItem>
      <ddeItem name="@CTA[8-2-7-2-4-2461,F,7,#6]" advise="1">
        <values>
          <value>
            <val>32.739999999999888</val>
          </value>
        </values>
      </ddeItem>
      <ddeItem name="@CTA[8-2-7-2-4-2461,F,8,#6]" advise="1">
        <values>
          <value>
            <val>-2.8421709430404007E-14</val>
          </value>
        </values>
      </ddeItem>
      <ddeItem name="@CTA[8-2-7-2-4-2461,F,9,#6]" advise="1">
        <values>
          <value>
            <val>0</val>
          </value>
        </values>
      </ddeItem>
      <ddeItem name="@CTA[8-2-7-2-4-2471,F,1,#6]" advise="1">
        <values>
          <value>
            <val>759.11999999998454</val>
          </value>
        </values>
      </ddeItem>
      <ddeItem name="@CTA[8-2-7-2-4-2471,F,2,#6]" advise="1">
        <values>
          <value>
            <val>0</val>
          </value>
        </values>
      </ddeItem>
      <ddeItem name="@CTA[8-2-7-2-4-2471,F,3,#6]" advise="1">
        <values>
          <value>
            <val>180.00000000000364</val>
          </value>
        </values>
      </ddeItem>
      <ddeItem name="@CTA[8-2-7-2-4-2471,F,4,#6]" advise="1">
        <values>
          <value>
            <val>0</val>
          </value>
        </values>
      </ddeItem>
      <ddeItem name="@CTA[8-2-7-2-4-2471,F,5,#6]" advise="1">
        <values>
          <value>
            <val>0</val>
          </value>
        </values>
      </ddeItem>
      <ddeItem name="@CTA[8-2-7-2-4-2471,F,6,#6]" advise="1">
        <values>
          <value>
            <val>0</val>
          </value>
        </values>
      </ddeItem>
      <ddeItem name="@CTA[8-2-7-2-4-2471,F,7,#6]" advise="1">
        <values>
          <value>
            <val>9079.9999999999418</val>
          </value>
        </values>
      </ddeItem>
      <ddeItem name="@CTA[8-2-7-2-4-2471,F,8,#6]" advise="1">
        <values>
          <value>
            <val>0</val>
          </value>
        </values>
      </ddeItem>
      <ddeItem name="@CTA[8-2-7-2-4-2471,F,9,#6]" advise="1">
        <values>
          <value t="nil">
            <val>1</val>
          </value>
        </values>
      </ddeItem>
      <ddeItem name="@CTA[8-2-7-2-4-2481,F,1,#6]" advise="1">
        <values>
          <value t="nil">
            <val>1</val>
          </value>
        </values>
      </ddeItem>
      <ddeItem name="@CTA[8-2-7-2-4-2481,F,2,#6]" advise="1">
        <values>
          <value t="nil">
            <val>1</val>
          </value>
        </values>
      </ddeItem>
      <ddeItem name="@CTA[8-2-7-2-4-2481,F,3,#6]" advise="1">
        <values>
          <value t="nil">
            <val>1</val>
          </value>
        </values>
      </ddeItem>
      <ddeItem name="@CTA[8-2-7-2-4-2481,F,4,#6]" advise="1">
        <values>
          <value t="nil">
            <val>1</val>
          </value>
        </values>
      </ddeItem>
      <ddeItem name="@CTA[8-2-7-2-4-2481,F,5,#6]" advise="1">
        <values>
          <value t="nil">
            <val>1</val>
          </value>
        </values>
      </ddeItem>
      <ddeItem name="@CTA[8-2-7-2-4-2481,F,6,#6]" advise="1">
        <values>
          <value t="nil">
            <val>1</val>
          </value>
        </values>
      </ddeItem>
      <ddeItem name="@CTA[8-2-7-2-4-2481,F,7,#6]" advise="1">
        <values>
          <value t="nil">
            <val>1</val>
          </value>
        </values>
      </ddeItem>
      <ddeItem name="@CTA[8-2-7-2-4-2481,F,8,#6]" advise="1">
        <values>
          <value t="nil">
            <val>1</val>
          </value>
        </values>
      </ddeItem>
      <ddeItem name="@CTA[8-2-7-2-4-2481,F,9,#6]" advise="1">
        <values>
          <value t="nil">
            <val>1</val>
          </value>
        </values>
      </ddeItem>
      <ddeItem name="@CTA[8-2-7-2-4-2491,F,1,#6]" advise="1">
        <values>
          <value>
            <val>199582.40000000014</val>
          </value>
        </values>
      </ddeItem>
      <ddeItem name="@CTA[8-2-7-2-4-2491,F,2,#6]" advise="1">
        <values>
          <value t="nil">
            <val>1</val>
          </value>
        </values>
      </ddeItem>
      <ddeItem name="@CTA[8-2-7-2-4-2491,F,3,#6]" advise="1">
        <values>
          <value t="nil">
            <val>1</val>
          </value>
        </values>
      </ddeItem>
      <ddeItem name="@CTA[8-2-7-2-4-2491,F,4,#6]" advise="1">
        <values>
          <value t="nil">
            <val>1</val>
          </value>
        </values>
      </ddeItem>
      <ddeItem name="@CTA[8-2-7-2-4-2491,F,5,#6]" advise="1">
        <values>
          <value>
            <val>252904</val>
          </value>
        </values>
      </ddeItem>
      <ddeItem name="@CTA[8-2-7-2-4-2491,F,6,#6]" advise="1">
        <values>
          <value>
            <val>0</val>
          </value>
        </values>
      </ddeItem>
      <ddeItem name="@CTA[8-2-7-2-4-2491,F,7,#6]" advise="1">
        <values>
          <value t="nil">
            <val>1</val>
          </value>
        </values>
      </ddeItem>
      <ddeItem name="@CTA[8-2-7-2-4-2491,F,8,#6]" advise="1">
        <values>
          <value t="nil">
            <val>1</val>
          </value>
        </values>
      </ddeItem>
      <ddeItem name="@CTA[8-2-7-2-4-2491,F,9,#6]" advise="1">
        <values>
          <value t="nil">
            <val>1</val>
          </value>
        </values>
      </ddeItem>
      <ddeItem name="@CTA[8-2-7-2-4-2492,F,1,#6]" advise="1">
        <values>
          <value>
            <val>382321.76999999979</val>
          </value>
        </values>
      </ddeItem>
      <ddeItem name="@CTA[8-2-7-2-4-2492,F,2,#6]" advise="1">
        <values>
          <value t="nil">
            <val>1</val>
          </value>
        </values>
      </ddeItem>
      <ddeItem name="@CTA[8-2-7-2-4-2492,F,3,#6]" advise="1">
        <values>
          <value>
            <val>0</val>
          </value>
        </values>
      </ddeItem>
      <ddeItem name="@CTA[8-2-7-2-4-2492,F,4,#6]" advise="1">
        <values>
          <value t="nil">
            <val>1</val>
          </value>
        </values>
      </ddeItem>
      <ddeItem name="@CTA[8-2-7-2-4-2492,F,5,#6]" advise="1">
        <values>
          <value t="nil">
            <val>1</val>
          </value>
        </values>
      </ddeItem>
      <ddeItem name="@CTA[8-2-7-2-4-2492,F,6,#6]" advise="1">
        <values>
          <value t="nil">
            <val>1</val>
          </value>
        </values>
      </ddeItem>
      <ddeItem name="@CTA[8-2-7-2-4-2492,F,7,#6]" advise="1">
        <values>
          <value>
            <val>0</val>
          </value>
        </values>
      </ddeItem>
      <ddeItem name="@CTA[8-2-7-2-4-2492,F,8,#6]" advise="1">
        <values>
          <value>
            <val>-174444.56</val>
          </value>
        </values>
      </ddeItem>
      <ddeItem name="@CTA[8-2-7-2-4-2492,F,9,#6]" advise="1">
        <values>
          <value t="nil">
            <val>1</val>
          </value>
        </values>
      </ddeItem>
      <ddeItem name="@CTA[8-2-7-2-5,F,#5]" advise="1">
        <values>
          <value>
            <val>125021.99999999988</val>
          </value>
        </values>
      </ddeItem>
      <ddeItem name="@CTA[8-2-7-2-5-2531,F,1,#6]" advise="1">
        <values>
          <value t="nil">
            <val>1</val>
          </value>
        </values>
      </ddeItem>
      <ddeItem name="@CTA[8-2-7-2-5-2531,F,2,#6]" advise="1">
        <values>
          <value t="nil">
            <val>1</val>
          </value>
        </values>
      </ddeItem>
      <ddeItem name="@CTA[8-2-7-2-5-2531,F,3,#6]" advise="1">
        <values>
          <value>
            <val>0</val>
          </value>
        </values>
      </ddeItem>
      <ddeItem name="@CTA[8-2-7-2-5-2531,F,4,#6]" advise="1">
        <values>
          <value t="nil">
            <val>1</val>
          </value>
        </values>
      </ddeItem>
      <ddeItem name="@CTA[8-2-7-2-5-2531,F,5,#6]" advise="1">
        <values>
          <value t="nil">
            <val>1</val>
          </value>
        </values>
      </ddeItem>
      <ddeItem name="@CTA[8-2-7-2-5-2531,F,6,#6]" advise="1">
        <values>
          <value t="nil">
            <val>1</val>
          </value>
        </values>
      </ddeItem>
      <ddeItem name="@CTA[8-2-7-2-5-2531,F,7,#6]" advise="1">
        <values>
          <value>
            <val>-1.1368683772161603E-13</val>
          </value>
        </values>
      </ddeItem>
      <ddeItem name="@CTA[8-2-7-2-5-2531,F,8,#6]" advise="1">
        <values>
          <value t="nil">
            <val>1</val>
          </value>
        </values>
      </ddeItem>
      <ddeItem name="@CTA[8-2-7-2-5-2531,F,9,#6]" advise="1">
        <values>
          <value t="nil">
            <val>1</val>
          </value>
        </values>
      </ddeItem>
      <ddeItem name="@CTA[8-2-7-2-5-2551,F,1,#6]" advise="1">
        <values>
          <value t="nil">
            <val>1</val>
          </value>
        </values>
      </ddeItem>
      <ddeItem name="@CTA[8-2-7-2-5-2551,F,2,#6]" advise="1">
        <values>
          <value t="nil">
            <val>1</val>
          </value>
        </values>
      </ddeItem>
      <ddeItem name="@CTA[8-2-7-2-5-2551,F,3,#6]" advise="1">
        <values>
          <value t="nil">
            <val>1</val>
          </value>
        </values>
      </ddeItem>
      <ddeItem name="@CTA[8-2-7-2-5-2551,F,4,#6]" advise="1">
        <values>
          <value t="nil">
            <val>1</val>
          </value>
        </values>
      </ddeItem>
      <ddeItem name="@CTA[8-2-7-2-5-2551,F,5,#6]" advise="1">
        <values>
          <value t="nil">
            <val>1</val>
          </value>
        </values>
      </ddeItem>
      <ddeItem name="@CTA[8-2-7-2-5-2551,F,6,#6]" advise="1">
        <values>
          <value t="nil">
            <val>1</val>
          </value>
        </values>
      </ddeItem>
      <ddeItem name="@CTA[8-2-7-2-5-2551,F,7,#6]" advise="1">
        <values>
          <value>
            <val>7.2759576141834259E-12</val>
          </value>
        </values>
      </ddeItem>
      <ddeItem name="@CTA[8-2-7-2-5-2551,F,8,#6]" advise="1">
        <values>
          <value t="nil">
            <val>1</val>
          </value>
        </values>
      </ddeItem>
      <ddeItem name="@CTA[8-2-7-2-5-2551,F,9,#6]" advise="1">
        <values>
          <value t="nil">
            <val>1</val>
          </value>
        </values>
      </ddeItem>
      <ddeItem name="@CTA[8-2-7-2-5-2591,F,1,#6]" advise="1">
        <values>
          <value>
            <val>125021.99999999994</val>
          </value>
        </values>
      </ddeItem>
      <ddeItem name="@CTA[8-2-7-2-5-2591,F,2,#6]" advise="1">
        <values>
          <value>
            <val>-2.1316282072803006E-14</val>
          </value>
        </values>
      </ddeItem>
      <ddeItem name="@CTA[8-2-7-2-5-2591,F,3,#6]" advise="1">
        <values>
          <value>
            <val>5.1159076974727213E-13</val>
          </value>
        </values>
      </ddeItem>
      <ddeItem name="@CTA[8-2-7-2-5-2591,F,4,#6]" advise="1">
        <values>
          <value>
            <val>0</val>
          </value>
        </values>
      </ddeItem>
      <ddeItem name="@CTA[8-2-7-2-5-2591,F,5,#6]" advise="1">
        <values>
          <value>
            <val>4.9737991503207013E-14</val>
          </value>
        </values>
      </ddeItem>
      <ddeItem name="@CTA[8-2-7-2-5-2591,F,6,#6]" advise="1">
        <values>
          <value>
            <val>0</val>
          </value>
        </values>
      </ddeItem>
      <ddeItem name="@CTA[8-2-7-2-5-2591,F,7,#6]" advise="1">
        <values>
          <value>
            <val>1.8189894035458565E-12</val>
          </value>
        </values>
      </ddeItem>
      <ddeItem name="@CTA[8-2-7-2-5-2591,F,8,#6]" advise="1">
        <values>
          <value>
            <val>0</val>
          </value>
        </values>
      </ddeItem>
      <ddeItem name="@CTA[8-2-7-2-5-2591,F,9,#6]" advise="1">
        <values>
          <value>
            <val>0</val>
          </value>
        </values>
      </ddeItem>
      <ddeItem name="@CTA[8-2-7-2-6,F,#5]" advise="1">
        <values>
          <value>
            <val>155146.61999999982</val>
          </value>
        </values>
      </ddeItem>
      <ddeItem name="@CTA[8-2-7-2-6-2611,F,1,#6]" advise="1">
        <values>
          <value>
            <val>0</val>
          </value>
        </values>
      </ddeItem>
      <ddeItem name="@CTA[8-2-7-2-6-2611,F,2,#6]" advise="1">
        <values>
          <value>
            <val>4825.6000000000076</val>
          </value>
        </values>
      </ddeItem>
      <ddeItem name="@CTA[8-2-7-2-6-2611,F,3,#6]" advise="1">
        <values>
          <value t="nil">
            <val>1</val>
          </value>
        </values>
      </ddeItem>
      <ddeItem name="@CTA[8-2-7-2-6-2611,F,4,#6]" advise="1">
        <values>
          <value t="nil">
            <val>1</val>
          </value>
        </values>
      </ddeItem>
      <ddeItem name="@CTA[8-2-7-2-6-2611,F,5,#6]" advise="1">
        <values>
          <value>
            <val>794.01000000000454</val>
          </value>
        </values>
      </ddeItem>
      <ddeItem name="@CTA[8-2-7-2-6-2611,F,6,#6]" advise="1">
        <values>
          <value>
            <val>0</val>
          </value>
        </values>
      </ddeItem>
      <ddeItem name="@CTA[8-2-7-2-6-2611,F,7,#6]" advise="1">
        <values>
          <value>
            <val>6751.28</val>
          </value>
        </values>
      </ddeItem>
      <ddeItem name="@CTA[8-2-7-2-6-2611,F,8,#6]" advise="1">
        <values>
          <value>
            <val>1920.46</val>
          </value>
        </values>
      </ddeItem>
      <ddeItem name="@CTA[8-2-7-2-6-2611,F,9,#6]" advise="1">
        <values>
          <value>
            <val>4219.7299999999959</val>
          </value>
        </values>
      </ddeItem>
      <ddeItem name="@CTA[8-2-7-2-6-2612,F,1,#6]" advise="1">
        <values>
          <value>
            <val>133295.10999999984</val>
          </value>
        </values>
      </ddeItem>
      <ddeItem name="@CTA[8-2-7-2-6-2612,F,2,#6]" advise="1">
        <values>
          <value>
            <val>0</val>
          </value>
        </values>
      </ddeItem>
      <ddeItem name="@CTA[8-2-7-2-6-2612,F,3,#6]" advise="1">
        <values>
          <value t="nil">
            <val>1</val>
          </value>
        </values>
      </ddeItem>
      <ddeItem name="@CTA[8-2-7-2-6-2612,F,4,#6]" advise="1">
        <values>
          <value t="nil">
            <val>1</val>
          </value>
        </values>
      </ddeItem>
      <ddeItem name="@CTA[8-2-7-2-6-2612,F,5,#6]" advise="1">
        <values>
          <value t="nil">
            <val>1</val>
          </value>
        </values>
      </ddeItem>
      <ddeItem name="@CTA[8-2-7-2-6-2612,F,6,#6]" advise="1">
        <values>
          <value t="nil">
            <val>1</val>
          </value>
        </values>
      </ddeItem>
      <ddeItem name="@CTA[8-2-7-2-6-2612,F,7,#6]" advise="1">
        <values>
          <value>
            <val>3340.4299999999994</val>
          </value>
        </values>
      </ddeItem>
      <ddeItem name="@CTA[8-2-7-2-6-2612,F,8,#6]" advise="1">
        <values>
          <value>
            <val>0</val>
          </value>
        </values>
      </ddeItem>
      <ddeItem name="@CTA[8-2-7-2-6-2612,F,9,#6]" advise="1">
        <values>
          <value t="nil">
            <val>1</val>
          </value>
        </values>
      </ddeItem>
      <ddeItem name="@CTA[8-2-7-2-7,F,#5]" advise="1">
        <values>
          <value>
            <val>130730.79999999999</val>
          </value>
        </values>
      </ddeItem>
      <ddeItem name="@CTA[8-2-7-2-7-2711,F,1,#6]" advise="1">
        <values>
          <value>
            <val>5058.0599999999995</val>
          </value>
        </values>
      </ddeItem>
      <ddeItem name="@CTA[8-2-7-2-7-2711,F,2,#6]" advise="1">
        <values>
          <value>
            <val>8689.68</val>
          </value>
        </values>
      </ddeItem>
      <ddeItem name="@CTA[8-2-7-2-7-2711,F,3,#6]" advise="1">
        <values>
          <value>
            <val>4980</val>
          </value>
        </values>
      </ddeItem>
      <ddeItem name="@CTA[8-2-7-2-7-2711,F,4,#6]" advise="1">
        <values>
          <value>
            <val>15796.02</val>
          </value>
        </values>
      </ddeItem>
      <ddeItem name="@CTA[8-2-7-2-7-2711,F,5,#6]" advise="1">
        <values>
          <value>
            <val>6692.04</val>
          </value>
        </values>
      </ddeItem>
      <ddeItem name="@CTA[8-2-7-2-7-2711,F,6,#6]" advise="1">
        <values>
          <value>
            <val>1712.04</val>
          </value>
        </values>
      </ddeItem>
      <ddeItem name="@CTA[8-2-7-2-7-2711,F,7,#6]" advise="1">
        <values>
          <value>
            <val>856.02</val>
          </value>
        </values>
      </ddeItem>
      <ddeItem name="@CTA[8-2-7-2-7-2711,F,8,#6]" advise="1">
        <values>
          <value>
            <val>1712.04</val>
          </value>
        </values>
      </ddeItem>
      <ddeItem name="@CTA[8-2-7-2-7-2711,F,9,#6]" advise="1">
        <values>
          <value>
            <val>4201.1000000000004</val>
          </value>
        </values>
      </ddeItem>
      <ddeItem name="@CTA[8-2-7-2-7-2712,F,1,#6]" advise="1">
        <values>
          <value>
            <val>49212.54</val>
          </value>
        </values>
      </ddeItem>
      <ddeItem name="@CTA[8-2-7-2-7-2712,F,2,#6]" advise="1">
        <values>
          <value>
            <val>587.4000000000002</val>
          </value>
        </values>
      </ddeItem>
      <ddeItem name="@CTA[8-2-7-2-7-2712,F,3,#6]" advise="1">
        <values>
          <value>
            <val>7994.62</val>
          </value>
        </values>
      </ddeItem>
      <ddeItem name="@CTA[8-2-7-2-7-2712,F,4,#6]" advise="1">
        <values>
          <value>
            <val>0</val>
          </value>
        </values>
      </ddeItem>
      <ddeItem name="@CTA[8-2-7-2-7-2712,F,5,#6]" advise="1">
        <values>
          <value>
            <val>9317.7799999999988</val>
          </value>
        </values>
      </ddeItem>
      <ddeItem name="@CTA[8-2-7-2-7-2712,F,6,#6]" advise="1">
        <values>
          <value>
            <val>0</val>
          </value>
        </values>
      </ddeItem>
      <ddeItem name="@CTA[8-2-7-2-7-2712,F,7,#6]" advise="1">
        <values>
          <value>
            <val>12807.999999999996</val>
          </value>
        </values>
      </ddeItem>
      <ddeItem name="@CTA[8-2-7-2-7-2712,F,8,#6]" advise="1">
        <values>
          <value t="nil">
            <val>1</val>
          </value>
        </values>
      </ddeItem>
      <ddeItem name="@CTA[8-2-7-2-7-2712,F,9,#6]" advise="1">
        <values>
          <value t="nil">
            <val>1</val>
          </value>
        </values>
      </ddeItem>
      <ddeItem name="@CTA[8-2-7-2-7-2721,F,1,#6]" advise="1">
        <values>
          <value>
            <val>449.23999999999842</val>
          </value>
        </values>
      </ddeItem>
      <ddeItem name="@CTA[8-2-7-2-7-2721,F,2,#6]" advise="1">
        <values>
          <value>
            <val>0</val>
          </value>
        </values>
      </ddeItem>
      <ddeItem name="@CTA[8-2-7-2-7-2721,F,3,#6]" advise="1">
        <values>
          <value>
            <val>0</val>
          </value>
        </values>
      </ddeItem>
      <ddeItem name="@CTA[8-2-7-2-7-2721,F,4,#6]" advise="1">
        <values>
          <value>
            <val>0</val>
          </value>
        </values>
      </ddeItem>
      <ddeItem name="@CTA[8-2-7-2-7-2721,F,5,#6]" advise="1">
        <values>
          <value>
            <val>0</val>
          </value>
        </values>
      </ddeItem>
      <ddeItem name="@CTA[8-2-7-2-7-2721,F,6,#6]" advise="1">
        <values>
          <value>
            <val>0</val>
          </value>
        </values>
      </ddeItem>
      <ddeItem name="@CTA[8-2-7-2-7-2721,F,7,#6]" advise="1">
        <values>
          <value>
            <val>544.21999999999957</val>
          </value>
        </values>
      </ddeItem>
      <ddeItem name="@CTA[8-2-7-2-7-2721,F,8,#6]" advise="1">
        <values>
          <value>
            <val>120</val>
          </value>
        </values>
      </ddeItem>
      <ddeItem name="@CTA[8-2-7-2-7-2721,F,9,#6]" advise="1">
        <values>
          <value>
            <val>0</val>
          </value>
        </values>
      </ddeItem>
      <ddeItem name="@CTA[8-2-7-2-7-2731,F,1,#6]" advise="1">
        <values>
          <value>
            <val>0</val>
          </value>
        </values>
      </ddeItem>
      <ddeItem name="@CTA[8-2-7-2-7-2731,F,2,#6]" advise="1">
        <values>
          <value t="nil">
            <val>1</val>
          </value>
        </values>
      </ddeItem>
      <ddeItem name="@CTA[8-2-7-2-7-2731,F,3,#6]" advise="1">
        <values>
          <value t="nil">
            <val>1</val>
          </value>
        </values>
      </ddeItem>
      <ddeItem name="@CTA[8-2-7-2-7-2731,F,4,#6]" advise="1">
        <values>
          <value t="nil">
            <val>1</val>
          </value>
        </values>
      </ddeItem>
      <ddeItem name="@CTA[8-2-7-2-7-2731,F,5,#6]" advise="1">
        <values>
          <value t="nil">
            <val>1</val>
          </value>
        </values>
      </ddeItem>
      <ddeItem name="@CTA[8-2-7-2-7-2731,F,6,#6]" advise="1">
        <values>
          <value t="nil">
            <val>1</val>
          </value>
        </values>
      </ddeItem>
      <ddeItem name="@CTA[8-2-7-2-7-2731,F,7,#6]" advise="1">
        <values>
          <value>
            <val>0</val>
          </value>
        </values>
      </ddeItem>
      <ddeItem name="@CTA[8-2-7-2-7-2731,F,8,#6]" advise="1">
        <values>
          <value t="nil">
            <val>1</val>
          </value>
        </values>
      </ddeItem>
      <ddeItem name="@CTA[8-2-7-2-7-2731,F,9,#6]" advise="1">
        <values>
          <value t="nil">
            <val>1</val>
          </value>
        </values>
      </ddeItem>
      <ddeItem name="@CTA[8-2-7-2-8,F,#5]" advise="1">
        <values>
          <value t="nil">
            <val>1</val>
          </value>
        </values>
      </ddeItem>
      <ddeItem name="@CTA[8-2-7-2-9,F,#5]" advise="1">
        <values>
          <value>
            <val>20946.610000000015</val>
          </value>
        </values>
      </ddeItem>
      <ddeItem name="@CTA[8-2-7-2-9-2911,F,1,#6]" advise="1">
        <values>
          <value>
            <val>16718.079999999994</val>
          </value>
        </values>
      </ddeItem>
      <ddeItem name="@CTA[8-2-7-2-9-2911,F,2,#6]" advise="1">
        <values>
          <value>
            <val>-4.5474735088646412E-13</val>
          </value>
        </values>
      </ddeItem>
      <ddeItem name="@CTA[8-2-7-2-9-2911,F,3,#6]" advise="1">
        <values>
          <value>
            <val>541.20999999999913</val>
          </value>
        </values>
      </ddeItem>
      <ddeItem name="@CTA[8-2-7-2-9-2911,F,4,#6]" advise="1">
        <values>
          <value>
            <val>0</val>
          </value>
        </values>
      </ddeItem>
      <ddeItem name="@CTA[8-2-7-2-9-2911,F,5,#6]" advise="1">
        <values>
          <value>
            <val>635.99999999999977</val>
          </value>
        </values>
      </ddeItem>
      <ddeItem name="@CTA[8-2-7-2-9-2911,F,6,#6]" advise="1">
        <values>
          <value>
            <val>719.99</val>
          </value>
        </values>
      </ddeItem>
      <ddeItem name="@CTA[8-2-7-2-9-2911,F,7,#6]" advise="1">
        <values>
          <value>
            <val>1165.0200000000018</val>
          </value>
        </values>
      </ddeItem>
      <ddeItem name="@CTA[8-2-7-2-9-2911,F,8,#6]" advise="1">
        <values>
          <value>
            <val>826.21999999999912</val>
          </value>
        </values>
      </ddeItem>
      <ddeItem name="@CTA[8-2-7-2-9-2911,F,9,#6]" advise="1">
        <values>
          <value>
            <val>340.08999999999975</val>
          </value>
        </values>
      </ddeItem>
      <ddeItem name="@CTA[8-2-7-3,F,#4]" advise="1">
        <values>
          <value>
            <val>4101090.2899999926</val>
          </value>
        </values>
      </ddeItem>
      <ddeItem name="@CTA[8-2-7-3-1,F,#5]" advise="1">
        <values>
          <value>
            <val>1813066.9699999993</val>
          </value>
        </values>
      </ddeItem>
      <ddeItem name="@CTA[8-2-7-3-1-3111,F,1,#6]" advise="1">
        <values>
          <value>
            <val>1541932.4400000009</val>
          </value>
        </values>
      </ddeItem>
      <ddeItem name="@CTA[8-2-7-3-1-3111,F,2,#6]" advise="1">
        <values>
          <value>
            <val>2187.1800000000007</val>
          </value>
        </values>
      </ddeItem>
      <ddeItem name="@CTA[8-2-7-3-1-3111,F,3,#6]" advise="1">
        <values>
          <value>
            <val>2187.1800000000017</val>
          </value>
        </values>
      </ddeItem>
      <ddeItem name="@CTA[8-2-7-3-1-3111,F,4,#6]" advise="1">
        <values>
          <value>
            <val>2187.179999999998</val>
          </value>
        </values>
      </ddeItem>
      <ddeItem name="@CTA[8-2-7-3-1-3111,F,5,#6]" advise="1">
        <values>
          <value>
            <val>2187.190000000001</val>
          </value>
        </values>
      </ddeItem>
      <ddeItem name="@CTA[8-2-7-3-1-3111,F,6,#6]" advise="1">
        <values>
          <value>
            <val>2187.190000000001</val>
          </value>
        </values>
      </ddeItem>
      <ddeItem name="@CTA[8-2-7-3-1-3111,F,7,#6]" advise="1">
        <values>
          <value>
            <val>240459.34999999998</val>
          </value>
        </values>
      </ddeItem>
      <ddeItem name="@CTA[8-2-7-3-1-3111,F,8,#6]" advise="1">
        <values>
          <value>
            <val>2187.19</val>
          </value>
        </values>
      </ddeItem>
      <ddeItem name="@CTA[8-2-7-3-1-3111,F,9,#6]" advise="1">
        <values>
          <value>
            <val>2187.19</val>
          </value>
        </values>
      </ddeItem>
      <ddeItem name="@CTA[8-2-7-3-1-3131,F,1,#6]" advise="1">
        <values>
          <value>
            <val>182.38999999999956</val>
          </value>
        </values>
      </ddeItem>
      <ddeItem name="@CTA[8-2-7-3-1-3131,F,2,#6]" advise="1">
        <values>
          <value>
            <val>182.39000000000001</val>
          </value>
        </values>
      </ddeItem>
      <ddeItem name="@CTA[8-2-7-3-1-3131,F,3,#6]" advise="1">
        <values>
          <value>
            <val>182.39000000000036</val>
          </value>
        </values>
      </ddeItem>
      <ddeItem name="@CTA[8-2-7-3-1-3131,F,4,#6]" advise="1">
        <values>
          <value>
            <val>182.39000000000013</val>
          </value>
        </values>
      </ddeItem>
      <ddeItem name="@CTA[8-2-7-3-1-3131,F,5,#6]" advise="1">
        <values>
          <value>
            <val>182.40000000000012</val>
          </value>
        </values>
      </ddeItem>
      <ddeItem name="@CTA[8-2-7-3-1-3131,F,6,#6]" advise="1">
        <values>
          <value>
            <val>182.39999999999989</val>
          </value>
        </values>
      </ddeItem>
      <ddeItem name="@CTA[8-2-7-3-1-3131,F,7,#6]" advise="1">
        <values>
          <value>
            <val>182.39999999999989</val>
          </value>
        </values>
      </ddeItem>
      <ddeItem name="@CTA[8-2-7-3-1-3131,F,8,#6]" advise="1">
        <values>
          <value>
            <val>182.39999999999989</val>
          </value>
        </values>
      </ddeItem>
      <ddeItem name="@CTA[8-2-7-3-1-3131,F,9,#6]" advise="1">
        <values>
          <value>
            <val>182.40999999999988</val>
          </value>
        </values>
      </ddeItem>
      <ddeItem name="@CTA[8-2-7-3-1-3141,F,1,#6]" advise="1">
        <values>
          <value>
            <val>950.68000000000086</val>
          </value>
        </values>
      </ddeItem>
      <ddeItem name="@CTA[8-2-7-3-1-3141,F,2,#6]" advise="1">
        <values>
          <value>
            <val>950.6800000000004</val>
          </value>
        </values>
      </ddeItem>
      <ddeItem name="@CTA[8-2-7-3-1-3141,F,3,#6]" advise="1">
        <values>
          <value>
            <val>950.68</val>
          </value>
        </values>
      </ddeItem>
      <ddeItem name="@CTA[8-2-7-3-1-3141,F,4,#6]" advise="1">
        <values>
          <value>
            <val>950.68000000000086</val>
          </value>
        </values>
      </ddeItem>
      <ddeItem name="@CTA[8-2-7-3-1-3141,F,5,#6]" advise="1">
        <values>
          <value>
            <val>950.68</val>
          </value>
        </values>
      </ddeItem>
      <ddeItem name="@CTA[8-2-7-3-1-3141,F,6,#6]" advise="1">
        <values>
          <value>
            <val>950.68999999999915</val>
          </value>
        </values>
      </ddeItem>
      <ddeItem name="@CTA[8-2-7-3-1-3141,F,7,#6]" advise="1">
        <values>
          <value>
            <val>950.68000000000006</val>
          </value>
        </values>
      </ddeItem>
      <ddeItem name="@CTA[8-2-7-3-1-3141,F,8,#6]" advise="1">
        <values>
          <value>
            <val>950.67000000000053</val>
          </value>
        </values>
      </ddeItem>
      <ddeItem name="@CTA[8-2-7-3-1-3141,F,9,#6]" advise="1">
        <values>
          <value>
            <val>950.66000000000008</val>
          </value>
        </values>
      </ddeItem>
      <ddeItem name="@CTA[8-2-7-3-1-3161,F,1,#6]" advise="1">
        <values>
          <value>
            <val>3068.26</val>
          </value>
        </values>
      </ddeItem>
      <ddeItem name="@CTA[8-2-7-3-1-3161,F,2,#6]" advise="1">
        <values>
          <value>
            <val>2098.9500000000107</val>
          </value>
        </values>
      </ddeItem>
      <ddeItem name="@CTA[8-2-7-3-1-3161,F,3,#6]" advise="1">
        <values>
          <value>
            <val>0</val>
          </value>
        </values>
      </ddeItem>
      <ddeItem name="@CTA[8-2-7-3-1-3161,F,4,#6]" advise="1">
        <values>
          <value>
            <val>0</val>
          </value>
        </values>
      </ddeItem>
      <ddeItem name="@CTA[8-2-7-3-1-3161,F,5,#6]" advise="1">
        <values>
          <value>
            <val>0</val>
          </value>
        </values>
      </ddeItem>
      <ddeItem name="@CTA[8-2-7-3-1-3161,F,6,#6]" advise="1">
        <values>
          <value>
            <val>0</val>
          </value>
        </values>
      </ddeItem>
      <ddeItem name="@CTA[8-2-7-3-1-3161,F,7,#6]" advise="1">
        <values>
          <value>
            <val>0</val>
          </value>
        </values>
      </ddeItem>
      <ddeItem name="@CTA[8-2-7-3-1-3161,F,8,#6]" advise="1">
        <values>
          <value>
            <val>0</val>
          </value>
        </values>
      </ddeItem>
      <ddeItem name="@CTA[8-2-7-3-1-3161,F,9,#6]" advise="1">
        <values>
          <value>
            <val>0</val>
          </value>
        </values>
      </ddeItem>
      <ddeItem name="@CTA[8-2-7-3-1-3171,F,1,#6]" advise="1">
        <values>
          <value>
            <val>0</val>
          </value>
        </values>
      </ddeItem>
      <ddeItem name="@CTA[8-2-7-3-1-3171,F,2,#6]" advise="1">
        <values>
          <value>
            <val>0</val>
          </value>
        </values>
      </ddeItem>
      <ddeItem name="@CTA[8-2-7-3-1-3171,F,3,#6]" advise="1">
        <values>
          <value>
            <val>1.8189894035458565E-12</val>
          </value>
        </values>
      </ddeItem>
      <ddeItem name="@CTA[8-2-7-3-1-3171,F,4,#6]" advise="1">
        <values>
          <value>
            <val>2.2737367544323206E-12</val>
          </value>
        </values>
      </ddeItem>
      <ddeItem name="@CTA[8-2-7-3-1-3171,F,5,#6]" advise="1">
        <values>
          <value>
            <val>0</val>
          </value>
        </values>
      </ddeItem>
      <ddeItem name="@CTA[8-2-7-3-1-3171,F,6,#6]" advise="1">
        <values>
          <value>
            <val>0</val>
          </value>
        </values>
      </ddeItem>
      <ddeItem name="@CTA[8-2-7-3-1-3171,F,7,#6]" advise="1">
        <values>
          <value>
            <val>0</val>
          </value>
        </values>
      </ddeItem>
      <ddeItem name="@CTA[8-2-7-3-1-3171,F,8,#6]" advise="1">
        <values>
          <value>
            <val>0</val>
          </value>
        </values>
      </ddeItem>
      <ddeItem name="@CTA[8-2-7-3-1-3171,F,9,#6]" advise="1">
        <values>
          <value>
            <val>0</val>
          </value>
        </values>
      </ddeItem>
      <ddeItem name="@CTA[8-2-7-3-1-3181,F,1,#6]" advise="1">
        <values>
          <value>
            <val>-2.8421709430404007E-14</val>
          </value>
        </values>
      </ddeItem>
      <ddeItem name="@CTA[8-2-7-3-1-3181,F,2,#6]" advise="1">
        <values>
          <value>
            <val>0</val>
          </value>
        </values>
      </ddeItem>
      <ddeItem name="@CTA[8-2-7-3-1-3181,F,3,#6]" advise="1">
        <values>
          <value t="nil">
            <val>1</val>
          </value>
        </values>
      </ddeItem>
      <ddeItem name="@CTA[8-2-7-3-1-3181,F,4,#6]" advise="1">
        <values>
          <value t="nil">
            <val>1</val>
          </value>
        </values>
      </ddeItem>
      <ddeItem name="@CTA[8-2-7-3-1-3181,F,5,#6]" advise="1">
        <values>
          <value t="nil">
            <val>1</val>
          </value>
        </values>
      </ddeItem>
      <ddeItem name="@CTA[8-2-7-3-1-3181,F,6,#6]" advise="1">
        <values>
          <value t="nil">
            <val>1</val>
          </value>
        </values>
      </ddeItem>
      <ddeItem name="@CTA[8-2-7-3-1-3181,F,7,#6]" advise="1">
        <values>
          <value t="nil">
            <val>1</val>
          </value>
        </values>
      </ddeItem>
      <ddeItem name="@CTA[8-2-7-3-1-3181,F,8,#6]" advise="1">
        <values>
          <value t="nil">
            <val>1</val>
          </value>
        </values>
      </ddeItem>
      <ddeItem name="@CTA[8-2-7-3-1-3181,F,9,#6]" advise="1">
        <values>
          <value t="nil">
            <val>1</val>
          </value>
        </values>
      </ddeItem>
      <ddeItem name="@CTA[8-2-7-3-1-3182,F,1,#6]" advise="1">
        <values>
          <value t="nil">
            <val>1</val>
          </value>
        </values>
      </ddeItem>
      <ddeItem name="@CTA[8-2-7-3-1-3182,F,2,#6]" advise="1">
        <values>
          <value t="nil">
            <val>1</val>
          </value>
        </values>
      </ddeItem>
      <ddeItem name="@CTA[8-2-7-3-1-3182,F,3,#6]" advise="1">
        <values>
          <value t="nil">
            <val>1</val>
          </value>
        </values>
      </ddeItem>
      <ddeItem name="@CTA[8-2-7-3-1-3182,F,4,#6]" advise="1">
        <values>
          <value t="nil">
            <val>1</val>
          </value>
        </values>
      </ddeItem>
      <ddeItem name="@CTA[8-2-7-3-1-3182,F,5,#6]" advise="1">
        <values>
          <value t="nil">
            <val>1</val>
          </value>
        </values>
      </ddeItem>
      <ddeItem name="@CTA[8-2-7-3-1-3182,F,6,#6]" advise="1">
        <values>
          <value t="nil">
            <val>1</val>
          </value>
        </values>
      </ddeItem>
      <ddeItem name="@CTA[8-2-7-3-1-3182,F,7,#6]" advise="1">
        <values>
          <value t="nil">
            <val>1</val>
          </value>
        </values>
      </ddeItem>
      <ddeItem name="@CTA[8-2-7-3-1-3182,F,8,#6]" advise="1">
        <values>
          <value t="nil">
            <val>1</val>
          </value>
        </values>
      </ddeItem>
      <ddeItem name="@CTA[8-2-7-3-1-3182,F,9,#6]" advise="1">
        <values>
          <value t="nil">
            <val>1</val>
          </value>
        </values>
      </ddeItem>
      <ddeItem name="@CTA[8-2-7-3-2,F,#5]" advise="1">
        <values>
          <value>
            <val>953.21000000000458</val>
          </value>
        </values>
      </ddeItem>
      <ddeItem name="@CTA[8-2-7-3-2-3211,F,1,#6]" advise="1">
        <values>
          <value>
            <val>0</val>
          </value>
        </values>
      </ddeItem>
      <ddeItem name="@CTA[8-2-7-3-2-3211,F,2,#6]" advise="1">
        <values>
          <value t="nil">
            <val>1</val>
          </value>
        </values>
      </ddeItem>
      <ddeItem name="@CTA[8-2-7-3-2-3211,F,3,#6]" advise="1">
        <values>
          <value t="nil">
            <val>1</val>
          </value>
        </values>
      </ddeItem>
      <ddeItem name="@CTA[8-2-7-3-2-3211,F,4,#6]" advise="1">
        <values>
          <value t="nil">
            <val>1</val>
          </value>
        </values>
      </ddeItem>
      <ddeItem name="@CTA[8-2-7-3-2-3211,F,5,#6]" advise="1">
        <values>
          <value t="nil">
            <val>1</val>
          </value>
        </values>
      </ddeItem>
      <ddeItem name="@CTA[8-2-7-3-2-3211,F,6,#6]" advise="1">
        <values>
          <value t="nil">
            <val>1</val>
          </value>
        </values>
      </ddeItem>
      <ddeItem name="@CTA[8-2-7-3-2-3211,F,7,#6]" advise="1">
        <values>
          <value t="nil">
            <val>1</val>
          </value>
        </values>
      </ddeItem>
      <ddeItem name="@CTA[8-2-7-3-2-3211,F,8,#6]" advise="1">
        <values>
          <value t="nil">
            <val>1</val>
          </value>
        </values>
      </ddeItem>
      <ddeItem name="@CTA[8-2-7-3-2-3211,F,9,#6]" advise="1">
        <values>
          <value t="nil">
            <val>1</val>
          </value>
        </values>
      </ddeItem>
      <ddeItem name="@CTA[8-2-7-3-2-3231,F,1,#6]" advise="1">
        <values>
          <value>
            <val>47.999999999999773</val>
          </value>
        </values>
      </ddeItem>
      <ddeItem name="@CTA[8-2-7-3-2-3231,F,2,#6]" advise="1">
        <values>
          <value>
            <val>0</val>
          </value>
        </values>
      </ddeItem>
      <ddeItem name="@CTA[8-2-7-3-2-3231,F,3,#6]" advise="1">
        <values>
          <value>
            <val>0</val>
          </value>
        </values>
      </ddeItem>
      <ddeItem name="@CTA[8-2-7-3-2-3231,F,4,#6]" advise="1">
        <values>
          <value>
            <val>0</val>
          </value>
        </values>
      </ddeItem>
      <ddeItem name="@CTA[8-2-7-3-2-3231,F,5,#6]" advise="1">
        <values>
          <value>
            <val>0</val>
          </value>
        </values>
      </ddeItem>
      <ddeItem name="@CTA[8-2-7-3-2-3231,F,6,#6]" advise="1">
        <values>
          <value>
            <val>0</val>
          </value>
        </values>
      </ddeItem>
      <ddeItem name="@CTA[8-2-7-3-2-3231,F,7,#6]" advise="1">
        <values>
          <value>
            <val>0</val>
          </value>
        </values>
      </ddeItem>
      <ddeItem name="@CTA[8-2-7-3-2-3231,F,8,#6]" advise="1">
        <values>
          <value>
            <val>0</val>
          </value>
        </values>
      </ddeItem>
      <ddeItem name="@CTA[8-2-7-3-2-3231,F,9,#6]" advise="1">
        <values>
          <value>
            <val>905.21000000000095</val>
          </value>
        </values>
      </ddeItem>
      <ddeItem name="@CTA[8-2-7-3-2-3261,F,1,#6]" advise="1">
        <values>
          <value t="nil">
            <val>1</val>
          </value>
        </values>
      </ddeItem>
      <ddeItem name="@CTA[8-2-7-3-2-3261,F,2,#6]" advise="1">
        <values>
          <value t="nil">
            <val>1</val>
          </value>
        </values>
      </ddeItem>
      <ddeItem name="@CTA[8-2-7-3-2-3261,F,3,#6]" advise="1">
        <values>
          <value t="nil">
            <val>1</val>
          </value>
        </values>
      </ddeItem>
      <ddeItem name="@CTA[8-2-7-3-2-3261,F,4,#6]" advise="1">
        <values>
          <value t="nil">
            <val>1</val>
          </value>
        </values>
      </ddeItem>
      <ddeItem name="@CTA[8-2-7-3-2-3261,F,5,#6]" advise="1">
        <values>
          <value t="nil">
            <val>1</val>
          </value>
        </values>
      </ddeItem>
      <ddeItem name="@CTA[8-2-7-3-2-3261,F,6,#6]" advise="1">
        <values>
          <value t="nil">
            <val>1</val>
          </value>
        </values>
      </ddeItem>
      <ddeItem name="@CTA[8-2-7-3-2-3261,F,7,#6]" advise="1">
        <values>
          <value t="nil">
            <val>1</val>
          </value>
        </values>
      </ddeItem>
      <ddeItem name="@CTA[8-2-7-3-2-3261,F,8,#6]" advise="1">
        <values>
          <value t="nil">
            <val>1</val>
          </value>
        </values>
      </ddeItem>
      <ddeItem name="@CTA[8-2-7-3-2-3261,F,9,#6]" advise="1">
        <values>
          <value t="nil">
            <val>1</val>
          </value>
        </values>
      </ddeItem>
      <ddeItem name="@CTA[8-2-7-3-2-3291,F,1,#6]" advise="1">
        <values>
          <value t="nil">
            <val>1</val>
          </value>
        </values>
      </ddeItem>
      <ddeItem name="@CTA[8-2-7-3-2-3291,F,2,#6]" advise="1">
        <values>
          <value t="nil">
            <val>1</val>
          </value>
        </values>
      </ddeItem>
      <ddeItem name="@CTA[8-2-7-3-2-3291,F,3,#6]" advise="1">
        <values>
          <value t="nil">
            <val>1</val>
          </value>
        </values>
      </ddeItem>
      <ddeItem name="@CTA[8-2-7-3-2-3291,F,4,#6]" advise="1">
        <values>
          <value t="nil">
            <val>1</val>
          </value>
        </values>
      </ddeItem>
      <ddeItem name="@CTA[8-2-7-3-2-3291,F,5,#6]" advise="1">
        <values>
          <value t="nil">
            <val>1</val>
          </value>
        </values>
      </ddeItem>
      <ddeItem name="@CTA[8-2-7-3-2-3291,F,6,#6]" advise="1">
        <values>
          <value t="nil">
            <val>1</val>
          </value>
        </values>
      </ddeItem>
      <ddeItem name="@CTA[8-2-7-3-2-3291,F,7,#6]" advise="1">
        <values>
          <value t="nil">
            <val>1</val>
          </value>
        </values>
      </ddeItem>
      <ddeItem name="@CTA[8-2-7-3-2-3291,F,8,#6]" advise="1">
        <values>
          <value>
            <val>0</val>
          </value>
        </values>
      </ddeItem>
      <ddeItem name="@CTA[8-2-7-3-2-3291,F,9,#6]" advise="1">
        <values>
          <value t="nil">
            <val>1</val>
          </value>
        </values>
      </ddeItem>
      <ddeItem name="@CTA[8-2-7-3-3,F,#5]" advise="1">
        <values>
          <value>
            <val>695313.15000000037</val>
          </value>
        </values>
      </ddeItem>
      <ddeItem name="@CTA[8-2-7-3-3-3311,F,1,#6]" advise="1">
        <values>
          <value>
            <val>1142.8599999999999</val>
          </value>
        </values>
      </ddeItem>
      <ddeItem name="@CTA[8-2-7-3-3-3311,F,2,#6]" advise="1">
        <values>
          <value>
            <val>542462.97</val>
          </value>
        </values>
      </ddeItem>
      <ddeItem name="@CTA[8-2-7-3-3-3311,F,3,#6]" advise="1">
        <values>
          <value>
            <val>0</val>
          </value>
        </values>
      </ddeItem>
      <ddeItem name="@CTA[8-2-7-3-3-3311,F,4,#6]" advise="1">
        <values>
          <value>
            <val>0</val>
          </value>
        </values>
      </ddeItem>
      <ddeItem name="@CTA[8-2-7-3-3-3311,F,5,#6]" advise="1">
        <values>
          <value t="nil">
            <val>1</val>
          </value>
        </values>
      </ddeItem>
      <ddeItem name="@CTA[8-2-7-3-3-3311,F,6,#6]" advise="1">
        <values>
          <value t="nil">
            <val>1</val>
          </value>
        </values>
      </ddeItem>
      <ddeItem name="@CTA[8-2-7-3-3-3311,F,7,#6]" advise="1">
        <values>
          <value t="nil">
            <val>1</val>
          </value>
        </values>
      </ddeItem>
      <ddeItem name="@CTA[8-2-7-3-3-3311,F,8,#6]" advise="1">
        <values>
          <value t="nil">
            <val>1</val>
          </value>
        </values>
      </ddeItem>
      <ddeItem name="@CTA[8-2-7-3-3-3311,F,9,#6]" advise="1">
        <values>
          <value>
            <val>0</val>
          </value>
        </values>
      </ddeItem>
      <ddeItem name="@CTA[8-2-7-3-3-3331,F,1,#6]" advise="1">
        <values>
          <value t="nil">
            <val>1</val>
          </value>
        </values>
      </ddeItem>
      <ddeItem name="@CTA[8-2-7-3-3-3331,F,2,#6]" advise="1">
        <values>
          <value t="nil">
            <val>1</val>
          </value>
        </values>
      </ddeItem>
      <ddeItem name="@CTA[8-2-7-3-3-3331,F,3,#6]" advise="1">
        <values>
          <value t="nil">
            <val>1</val>
          </value>
        </values>
      </ddeItem>
      <ddeItem name="@CTA[8-2-7-3-3-3331,F,4,#6]" advise="1">
        <values>
          <value t="nil">
            <val>1</val>
          </value>
        </values>
      </ddeItem>
      <ddeItem name="@CTA[8-2-7-3-3-3331,F,5,#6]" advise="1">
        <values>
          <value t="nil">
            <val>1</val>
          </value>
        </values>
      </ddeItem>
      <ddeItem name="@CTA[8-2-7-3-3-3331,F,6,#6]" advise="1">
        <values>
          <value t="nil">
            <val>1</val>
          </value>
        </values>
      </ddeItem>
      <ddeItem name="@CTA[8-2-7-3-3-3331,F,7,#6]" advise="1">
        <values>
          <value t="nil">
            <val>1</val>
          </value>
        </values>
      </ddeItem>
      <ddeItem name="@CTA[8-2-7-3-3-3331,F,8,#6]" advise="1">
        <values>
          <value t="nil">
            <val>1</val>
          </value>
        </values>
      </ddeItem>
      <ddeItem name="@CTA[8-2-7-3-3-3331,F,9,#6]" advise="1">
        <values>
          <value t="nil">
            <val>1</val>
          </value>
        </values>
      </ddeItem>
      <ddeItem name="@CTA[8-2-7-3-3-3332,F,1,#6]" advise="1">
        <values>
          <value>
            <val>0</val>
          </value>
        </values>
      </ddeItem>
      <ddeItem name="@CTA[8-2-7-3-3-3332,F,2,#6]" advise="1">
        <values>
          <value>
            <val>-2.9103830456733704E-11</val>
          </value>
        </values>
      </ddeItem>
      <ddeItem name="@CTA[8-2-7-3-3-3332,F,3,#6]" advise="1">
        <values>
          <value t="nil">
            <val>1</val>
          </value>
        </values>
      </ddeItem>
      <ddeItem name="@CTA[8-2-7-3-3-3332,F,4,#6]" advise="1">
        <values>
          <value t="nil">
            <val>1</val>
          </value>
        </values>
      </ddeItem>
      <ddeItem name="@CTA[8-2-7-3-3-3332,F,5,#6]" advise="1">
        <values>
          <value>
            <val>0</val>
          </value>
        </values>
      </ddeItem>
      <ddeItem name="@CTA[8-2-7-3-3-3332,F,6,#6]" advise="1">
        <values>
          <value>
            <val>0</val>
          </value>
        </values>
      </ddeItem>
      <ddeItem name="@CTA[8-2-7-3-3-3332,F,7,#6]" advise="1">
        <values>
          <value>
            <val>0</val>
          </value>
        </values>
      </ddeItem>
      <ddeItem name="@CTA[8-2-7-3-3-3332,F,8,#6]" advise="1">
        <values>
          <value t="nil">
            <val>1</val>
          </value>
        </values>
      </ddeItem>
      <ddeItem name="@CTA[8-2-7-3-3-3332,F,9,#6]" advise="1">
        <values>
          <value>
            <val>74413.72</val>
          </value>
        </values>
      </ddeItem>
      <ddeItem name="@CTA[8-2-7-3-3-3341,F,1,#6]" advise="1">
        <values>
          <value>
            <val>0</val>
          </value>
        </values>
      </ddeItem>
      <ddeItem name="@CTA[8-2-7-3-3-3341,F,2,#6]" advise="1">
        <values>
          <value>
            <val>0</val>
          </value>
        </values>
      </ddeItem>
      <ddeItem name="@CTA[8-2-7-3-3-3341,F,3,#6]" advise="1">
        <values>
          <value>
            <val>16297.600000000008</val>
          </value>
        </values>
      </ddeItem>
      <ddeItem name="@CTA[8-2-7-3-3-3341,F,4,#6]" advise="1">
        <values>
          <value>
            <val>-2.2737367544323206E-13</val>
          </value>
        </values>
      </ddeItem>
      <ddeItem name="@CTA[8-2-7-3-3-3341,F,5,#6]" advise="1">
        <values>
          <value>
            <val>0</val>
          </value>
        </values>
      </ddeItem>
      <ddeItem name="@CTA[8-2-7-3-3-3341,F,6,#6]" advise="1">
        <values>
          <value>
            <val>0</val>
          </value>
        </values>
      </ddeItem>
      <ddeItem name="@CTA[8-2-7-3-3-3341,F,7,#6]" advise="1">
        <values>
          <value t="nil">
            <val>1</val>
          </value>
        </values>
      </ddeItem>
      <ddeItem name="@CTA[8-2-7-3-3-3341,F,8,#6]" advise="1">
        <values>
          <value>
            <val>0</val>
          </value>
        </values>
      </ddeItem>
      <ddeItem name="@CTA[8-2-7-3-3-3341,F,9,#6]" advise="1">
        <values>
          <value t="nil">
            <val>1</val>
          </value>
        </values>
      </ddeItem>
      <ddeItem name="@CTA[8-2-7-3-3-3381,F,1,#6]" advise="1">
        <values>
          <value t="nil">
            <val>1</val>
          </value>
        </values>
      </ddeItem>
      <ddeItem name="@CTA[8-2-7-3-3-3381,F,2,#6]" advise="1">
        <values>
          <value t="nil">
            <val>1</val>
          </value>
        </values>
      </ddeItem>
      <ddeItem name="@CTA[8-2-7-3-3-3381,F,3,#6]" advise="1">
        <values>
          <value t="nil">
            <val>1</val>
          </value>
        </values>
      </ddeItem>
      <ddeItem name="@CTA[8-2-7-3-3-3381,F,4,#6]" advise="1">
        <values>
          <value t="nil">
            <val>1</val>
          </value>
        </values>
      </ddeItem>
      <ddeItem name="@CTA[8-2-7-3-3-3381,F,5,#6]" advise="1">
        <values>
          <value t="nil">
            <val>1</val>
          </value>
        </values>
      </ddeItem>
      <ddeItem name="@CTA[8-2-7-3-3-3381,F,6,#6]" advise="1">
        <values>
          <value t="nil">
            <val>1</val>
          </value>
        </values>
      </ddeItem>
      <ddeItem name="@CTA[8-2-7-3-3-3381,F,7,#6]" advise="1">
        <values>
          <value t="nil">
            <val>1</val>
          </value>
        </values>
      </ddeItem>
      <ddeItem name="@CTA[8-2-7-3-3-3381,F,8,#6]" advise="1">
        <values>
          <value t="nil">
            <val>1</val>
          </value>
        </values>
      </ddeItem>
      <ddeItem name="@CTA[8-2-7-3-3-3381,F,9,#6]" advise="1">
        <values>
          <value t="nil">
            <val>1</val>
          </value>
        </values>
      </ddeItem>
      <ddeItem name="@CTA[8-2-7-3-3-3391,F,1,#6]" advise="1">
        <values>
          <value>
            <val>0</val>
          </value>
        </values>
      </ddeItem>
      <ddeItem name="@CTA[8-2-7-3-3-3391,F,2,#6]" advise="1">
        <values>
          <value t="nil">
            <val>1</val>
          </value>
        </values>
      </ddeItem>
      <ddeItem name="@CTA[8-2-7-3-3-3391,F,3,#6]" advise="1">
        <values>
          <value t="nil">
            <val>1</val>
          </value>
        </values>
      </ddeItem>
      <ddeItem name="@CTA[8-2-7-3-3-3391,F,4,#6]" advise="1">
        <values>
          <value t="nil">
            <val>1</val>
          </value>
        </values>
      </ddeItem>
      <ddeItem name="@CTA[8-2-7-3-3-3391,F,5,#6]" advise="1">
        <values>
          <value t="nil">
            <val>1</val>
          </value>
        </values>
      </ddeItem>
      <ddeItem name="@CTA[8-2-7-3-3-3391,F,6,#6]" advise="1">
        <values>
          <value t="nil">
            <val>1</val>
          </value>
        </values>
      </ddeItem>
      <ddeItem name="@CTA[8-2-7-3-3-3391,F,7,#6]" advise="1">
        <values>
          <value>
            <val>60996</val>
          </value>
        </values>
      </ddeItem>
      <ddeItem name="@CTA[8-2-7-3-3-3391,F,8,#6]" advise="1">
        <values>
          <value t="nil">
            <val>1</val>
          </value>
        </values>
      </ddeItem>
      <ddeItem name="@CTA[8-2-7-3-3-3391,F,9,#6]" advise="1">
        <values>
          <value t="nil">
            <val>1</val>
          </value>
        </values>
      </ddeItem>
      <ddeItem name="@CTA[8-2-7-3-4,F,#5]" advise="1">
        <values>
          <value>
            <val>108885.10000000022</val>
          </value>
        </values>
      </ddeItem>
      <ddeItem name="@CTA[8-2-7-3-4-3411,F,1,#6]" advise="1">
        <values>
          <value>
            <val>-2.9103830456733704E-11</val>
          </value>
        </values>
      </ddeItem>
      <ddeItem name="@CTA[8-2-7-3-4-3411,F,2,#6]" advise="1">
        <values>
          <value t="nil">
            <val>1</val>
          </value>
        </values>
      </ddeItem>
      <ddeItem name="@CTA[8-2-7-3-4-3411,F,3,#6]" advise="1">
        <values>
          <value t="nil">
            <val>1</val>
          </value>
        </values>
      </ddeItem>
      <ddeItem name="@CTA[8-2-7-3-4-3411,F,4,#6]" advise="1">
        <values>
          <value>
            <val>13354.239999999994</val>
          </value>
        </values>
      </ddeItem>
      <ddeItem name="@CTA[8-2-7-3-4-3411,F,5,#6]" advise="1">
        <values>
          <value t="nil">
            <val>1</val>
          </value>
        </values>
      </ddeItem>
      <ddeItem name="@CTA[8-2-7-3-4-3411,F,6,#6]" advise="1">
        <values>
          <value t="nil">
            <val>1</val>
          </value>
        </values>
      </ddeItem>
      <ddeItem name="@CTA[8-2-7-3-4-3411,F,7,#6]" advise="1">
        <values>
          <value t="nil">
            <val>1</val>
          </value>
        </values>
      </ddeItem>
      <ddeItem name="@CTA[8-2-7-3-4-3411,F,8,#6]" advise="1">
        <values>
          <value t="nil">
            <val>1</val>
          </value>
        </values>
      </ddeItem>
      <ddeItem name="@CTA[8-2-7-3-4-3411,F,9,#6]" advise="1">
        <values>
          <value t="nil">
            <val>1</val>
          </value>
        </values>
      </ddeItem>
      <ddeItem name="@CTA[8-2-7-3-4-3431,F,1,#6]" advise="1">
        <values>
          <value t="nil">
            <val>1</val>
          </value>
        </values>
      </ddeItem>
      <ddeItem name="@CTA[8-2-7-3-4-3431,F,2,#6]" advise="1">
        <values>
          <value t="nil">
            <val>1</val>
          </value>
        </values>
      </ddeItem>
      <ddeItem name="@CTA[8-2-7-3-4-3431,F,3,#6]" advise="1">
        <values>
          <value t="nil">
            <val>1</val>
          </value>
        </values>
      </ddeItem>
      <ddeItem name="@CTA[8-2-7-3-4-3431,F,4,#6]" advise="1">
        <values>
          <value>
            <val>49617.990000000056</val>
          </value>
        </values>
      </ddeItem>
      <ddeItem name="@CTA[8-2-7-3-4-3431,F,5,#6]" advise="1">
        <values>
          <value t="nil">
            <val>1</val>
          </value>
        </values>
      </ddeItem>
      <ddeItem name="@CTA[8-2-7-3-4-3431,F,6,#6]" advise="1">
        <values>
          <value t="nil">
            <val>1</val>
          </value>
        </values>
      </ddeItem>
      <ddeItem name="@CTA[8-2-7-3-4-3431,F,7,#6]" advise="1">
        <values>
          <value t="nil">
            <val>1</val>
          </value>
        </values>
      </ddeItem>
      <ddeItem name="@CTA[8-2-7-3-4-3431,F,8,#6]" advise="1">
        <values>
          <value t="nil">
            <val>1</val>
          </value>
        </values>
      </ddeItem>
      <ddeItem name="@CTA[8-2-7-3-4-3431,F,9,#6]" advise="1">
        <values>
          <value t="nil">
            <val>1</val>
          </value>
        </values>
      </ddeItem>
      <ddeItem name="@CTA[8-2-7-3-4-3451,F,1,#6]" advise="1">
        <values>
          <value>
            <val>24215.220000000016</val>
          </value>
        </values>
      </ddeItem>
      <ddeItem name="@CTA[8-2-7-3-4-3451,F,2,#6]" advise="1">
        <values>
          <value>
            <val>1166.129999999999</val>
          </value>
        </values>
      </ddeItem>
      <ddeItem name="@CTA[8-2-7-3-4-3451,F,3,#6]" advise="1">
        <values>
          <value>
            <val>451.29</val>
          </value>
        </values>
      </ddeItem>
      <ddeItem name="@CTA[8-2-7-3-4-3451,F,4,#6]" advise="1">
        <values>
          <value>
            <val>210.5999999999998</val>
          </value>
        </values>
      </ddeItem>
      <ddeItem name="@CTA[8-2-7-3-4-3451,F,5,#6]" advise="1">
        <values>
          <value>
            <val>4044.9899999999907</val>
          </value>
        </values>
      </ddeItem>
      <ddeItem name="@CTA[8-2-7-3-4-3451,F,6,#6]" advise="1">
        <values>
          <value>
            <val>60.180000000000049</val>
          </value>
        </values>
      </ddeItem>
      <ddeItem name="@CTA[8-2-7-3-4-3451,F,7,#6]" advise="1">
        <values>
          <value>
            <val>9076.7100000000155</val>
          </value>
        </values>
      </ddeItem>
      <ddeItem name="@CTA[8-2-7-3-4-3451,F,8,#6]" advise="1">
        <values>
          <value>
            <val>1143.4499999999989</val>
          </value>
        </values>
      </ddeItem>
      <ddeItem name="@CTA[8-2-7-3-4-3451,F,9,#6]" advise="1">
        <values>
          <value>
            <val>60.180000000001812</val>
          </value>
        </values>
      </ddeItem>
      <ddeItem name="@CTA[8-2-7-3-4-3471,F,1,#6]" advise="1">
        <values>
          <value>
            <val>0</val>
          </value>
        </values>
      </ddeItem>
      <ddeItem name="@CTA[8-2-7-3-4-3471,F,2,#6]" advise="1">
        <values>
          <value>
            <val>1.1368683772161603E-13</val>
          </value>
        </values>
      </ddeItem>
      <ddeItem name="@CTA[8-2-7-3-4-3471,F,3,#6]" advise="1">
        <values>
          <value>
            <val>0</val>
          </value>
        </values>
      </ddeItem>
      <ddeItem name="@CTA[8-2-7-3-4-3471,F,4,#6]" advise="1">
        <values>
          <value>
            <val>0</val>
          </value>
        </values>
      </ddeItem>
      <ddeItem name="@CTA[8-2-7-3-4-3471,F,5,#6]" advise="1">
        <values>
          <value>
            <val>5.6843418860808015E-14</val>
          </value>
        </values>
      </ddeItem>
      <ddeItem name="@CTA[8-2-7-3-4-3471,F,6,#6]" advise="1">
        <values>
          <value>
            <val>467.73</val>
          </value>
        </values>
      </ddeItem>
      <ddeItem name="@CTA[8-2-7-3-4-3471,F,7,#6]" advise="1">
        <values>
          <value>
            <val>0</val>
          </value>
        </values>
      </ddeItem>
      <ddeItem name="@CTA[8-2-7-3-4-3471,F,8,#6]" advise="1">
        <values>
          <value>
            <val>275.14999999999998</val>
          </value>
        </values>
      </ddeItem>
      <ddeItem name="@CTA[8-2-7-3-4-3471,F,9,#6]" advise="1">
        <values>
          <value>
            <val>0</val>
          </value>
        </values>
      </ddeItem>
      <ddeItem name="@CTA[8-2-7-3-4-3491,F,1,#6]" advise="1">
        <values>
          <value>
            <val>1700.7900000000063</val>
          </value>
        </values>
      </ddeItem>
      <ddeItem name="@CTA[8-2-7-3-4-3491,F,2,#6]" advise="1">
        <values>
          <value>
            <val>319.25999999999988</val>
          </value>
        </values>
      </ddeItem>
      <ddeItem name="@CTA[8-2-7-3-4-3491,F,3,#6]" advise="1">
        <values>
          <value>
            <val>568.72999999999865</val>
          </value>
        </values>
      </ddeItem>
      <ddeItem name="@CTA[8-2-7-3-4-3491,F,4,#6]" advise="1">
        <values>
          <value>
            <val>420.5400000000007</val>
          </value>
        </values>
      </ddeItem>
      <ddeItem name="@CTA[8-2-7-3-4-3491,F,5,#6]" advise="1">
        <values>
          <value>
            <val>559.5399999999986</val>
          </value>
        </values>
      </ddeItem>
      <ddeItem name="@CTA[8-2-7-3-4-3491,F,6,#6]" advise="1">
        <values>
          <value>
            <val>166.22999999999942</val>
          </value>
        </values>
      </ddeItem>
      <ddeItem name="@CTA[8-2-7-3-4-3491,F,7,#6]" advise="1">
        <values>
          <value>
            <val>511.49000000000046</val>
          </value>
        </values>
      </ddeItem>
      <ddeItem name="@CTA[8-2-7-3-4-3491,F,8,#6]" advise="1">
        <values>
          <value>
            <val>151.02000000000024</val>
          </value>
        </values>
      </ddeItem>
      <ddeItem name="@CTA[8-2-7-3-4-3491,F,9,#6]" advise="1">
        <values>
          <value>
            <val>343.64</val>
          </value>
        </values>
      </ddeItem>
      <ddeItem name="@CTA[8-2-7-3-5,F,#5]" advise="1">
        <values>
          <value>
            <val>910610.4999999986</val>
          </value>
        </values>
      </ddeItem>
      <ddeItem name="@CTA[8-2-7-3-5-3511,F,1,#6]" advise="1">
        <values>
          <value>
            <val>0</val>
          </value>
        </values>
      </ddeItem>
      <ddeItem name="@CTA[8-2-7-3-5-3511,F,2,#6]" advise="1">
        <values>
          <value>
            <val>0</val>
          </value>
        </values>
      </ddeItem>
      <ddeItem name="@CTA[8-2-7-3-5-3511,F,3,#6]" advise="1">
        <values>
          <value>
            <val>0</val>
          </value>
        </values>
      </ddeItem>
      <ddeItem name="@CTA[8-2-7-3-5-3511,F,4,#6]" advise="1">
        <values>
          <value>
            <val>0</val>
          </value>
        </values>
      </ddeItem>
      <ddeItem name="@CTA[8-2-7-3-5-3511,F,5,#6]" advise="1">
        <values>
          <value>
            <val>0</val>
          </value>
        </values>
      </ddeItem>
      <ddeItem name="@CTA[8-2-7-3-5-3511,F,6,#6]" advise="1">
        <values>
          <value t="nil">
            <val>1</val>
          </value>
        </values>
      </ddeItem>
      <ddeItem name="@CTA[8-2-7-3-5-3511,F,7,#6]" advise="1">
        <values>
          <value>
            <val>1.4551915228366852E-11</val>
          </value>
        </values>
      </ddeItem>
      <ddeItem name="@CTA[8-2-7-3-5-3511,F,8,#6]" advise="1">
        <values>
          <value t="nil">
            <val>1</val>
          </value>
        </values>
      </ddeItem>
      <ddeItem name="@CTA[8-2-7-3-5-3511,F,9,#6]" advise="1">
        <values>
          <value t="nil">
            <val>1</val>
          </value>
        </values>
      </ddeItem>
      <ddeItem name="@CTA[8-2-7-3-5-3521,F,1,#6]" advise="1">
        <values>
          <value t="nil">
            <val>1</val>
          </value>
        </values>
      </ddeItem>
      <ddeItem name="@CTA[8-2-7-3-5-3521,F,2,#6]" advise="1">
        <values>
          <value t="nil">
            <val>1</val>
          </value>
        </values>
      </ddeItem>
      <ddeItem name="@CTA[8-2-7-3-5-3521,F,3,#6]" advise="1">
        <values>
          <value t="nil">
            <val>1</val>
          </value>
        </values>
      </ddeItem>
      <ddeItem name="@CTA[8-2-7-3-5-3521,F,4,#6]" advise="1">
        <values>
          <value t="nil">
            <val>1</val>
          </value>
        </values>
      </ddeItem>
      <ddeItem name="@CTA[8-2-7-3-5-3521,F,5,#6]" advise="1">
        <values>
          <value t="nil">
            <val>1</val>
          </value>
        </values>
      </ddeItem>
      <ddeItem name="@CTA[8-2-7-3-5-3521,F,6,#6]" advise="1">
        <values>
          <value t="nil">
            <val>1</val>
          </value>
        </values>
      </ddeItem>
      <ddeItem name="@CTA[8-2-7-3-5-3521,F,7,#6]" advise="1">
        <values>
          <value t="nil">
            <val>1</val>
          </value>
        </values>
      </ddeItem>
      <ddeItem name="@CTA[8-2-7-3-5-3521,F,8,#6]" advise="1">
        <values>
          <value t="nil">
            <val>1</val>
          </value>
        </values>
      </ddeItem>
      <ddeItem name="@CTA[8-2-7-3-5-3521,F,9,#6]" advise="1">
        <values>
          <value t="nil">
            <val>1</val>
          </value>
        </values>
      </ddeItem>
      <ddeItem name="@CTA[8-2-7-3-5-3531,F,1,#6]" advise="1">
        <values>
          <value t="nil">
            <val>1</val>
          </value>
        </values>
      </ddeItem>
      <ddeItem name="@CTA[8-2-7-3-5-3531,F,2,#6]" advise="1">
        <values>
          <value t="nil">
            <val>1</val>
          </value>
        </values>
      </ddeItem>
      <ddeItem name="@CTA[8-2-7-3-5-3531,F,3,#6]" advise="1">
        <values>
          <value t="nil">
            <val>1</val>
          </value>
        </values>
      </ddeItem>
      <ddeItem name="@CTA[8-2-7-3-5-3531,F,4,#6]" advise="1">
        <values>
          <value t="nil">
            <val>1</val>
          </value>
        </values>
      </ddeItem>
      <ddeItem name="@CTA[8-2-7-3-5-3531,F,5,#6]" advise="1">
        <values>
          <value>
            <val>0</val>
          </value>
        </values>
      </ddeItem>
      <ddeItem name="@CTA[8-2-7-3-5-3531,F,6,#6]" advise="1">
        <values>
          <value>
            <val>0</val>
          </value>
        </values>
      </ddeItem>
      <ddeItem name="@CTA[8-2-7-3-5-3531,F,7,#6]" advise="1">
        <values>
          <value t="nil">
            <val>1</val>
          </value>
        </values>
      </ddeItem>
      <ddeItem name="@CTA[8-2-7-3-5-3531,F,8,#6]" advise="1">
        <values>
          <value t="nil">
            <val>1</val>
          </value>
        </values>
      </ddeItem>
      <ddeItem name="@CTA[8-2-7-3-5-3531,F,9,#6]" advise="1">
        <values>
          <value t="nil">
            <val>1</val>
          </value>
        </values>
      </ddeItem>
      <ddeItem name="@CTA[8-2-7-3-5-3551,F,1,#6]" advise="1">
        <values>
          <value>
            <val>59101.530000000064</val>
          </value>
        </values>
      </ddeItem>
      <ddeItem name="@CTA[8-2-7-3-5-3551,F,2,#6]" advise="1">
        <values>
          <value>
            <val>979.31999999999789</val>
          </value>
        </values>
      </ddeItem>
      <ddeItem name="@CTA[8-2-7-3-5-3551,F,3,#6]" advise="1">
        <values>
          <value t="nil">
            <val>1</val>
          </value>
        </values>
      </ddeItem>
      <ddeItem name="@CTA[8-2-7-3-5-3551,F,4,#6]" advise="1">
        <values>
          <value>
            <val>0</val>
          </value>
        </values>
      </ddeItem>
      <ddeItem name="@CTA[8-2-7-3-5-3551,F,5,#6]" advise="1">
        <values>
          <value>
            <val>59.04999999999454</val>
          </value>
        </values>
      </ddeItem>
      <ddeItem name="@CTA[8-2-7-3-5-3551,F,6,#6]" advise="1">
        <values>
          <value t="nil">
            <val>1</val>
          </value>
        </values>
      </ddeItem>
      <ddeItem name="@CTA[8-2-7-3-5-3551,F,7,#6]" advise="1">
        <values>
          <value>
            <val>4689.1399999999985</val>
          </value>
        </values>
      </ddeItem>
      <ddeItem name="@CTA[8-2-7-3-5-3551,F,8,#6]" advise="1">
        <values>
          <value>
            <val>9312.07</val>
          </value>
        </values>
      </ddeItem>
      <ddeItem name="@CTA[8-2-7-3-5-3551,F,9,#6]" advise="1">
        <values>
          <value>
            <val>1863.62</val>
          </value>
        </values>
      </ddeItem>
      <ddeItem name="@CTA[8-2-7-3-5-3571,F,1,#6]" advise="1">
        <values>
          <value>
            <val>561014.31000000099</val>
          </value>
        </values>
      </ddeItem>
      <ddeItem name="@CTA[8-2-7-3-5-3571,F,2,#6]" advise="1">
        <values>
          <value t="nil">
            <val>1</val>
          </value>
        </values>
      </ddeItem>
      <ddeItem name="@CTA[8-2-7-3-5-3571,F,3,#6]" advise="1">
        <values>
          <value>
            <val>0</val>
          </value>
        </values>
      </ddeItem>
      <ddeItem name="@CTA[8-2-7-3-5-3571,F,4,#6]" advise="1">
        <values>
          <value t="nil">
            <val>1</val>
          </value>
        </values>
      </ddeItem>
      <ddeItem name="@CTA[8-2-7-3-5-3571,F,5,#6]" advise="1">
        <values>
          <value>
            <val>0</val>
          </value>
        </values>
      </ddeItem>
      <ddeItem name="@CTA[8-2-7-3-5-3571,F,6,#6]" advise="1">
        <values>
          <value>
            <val>0</val>
          </value>
        </values>
      </ddeItem>
      <ddeItem name="@CTA[8-2-7-3-5-3571,F,7,#6]" advise="1">
        <values>
          <value>
            <val>9.0949470177292824E-13</val>
          </value>
        </values>
      </ddeItem>
      <ddeItem name="@CTA[8-2-7-3-5-3571,F,8,#6]" advise="1">
        <values>
          <value>
            <val>0</val>
          </value>
        </values>
      </ddeItem>
      <ddeItem name="@CTA[8-2-7-3-5-3571,F,9,#6]" advise="1">
        <values>
          <value t="nil">
            <val>1</val>
          </value>
        </values>
      </ddeItem>
      <ddeItem name="@CTA[8-2-7-3-5-3572,F,1,#6]" advise="1">
        <values>
          <value t="nil">
            <val>1</val>
          </value>
        </values>
      </ddeItem>
      <ddeItem name="@CTA[8-2-7-3-5-3572,F,2,#6]" advise="1">
        <values>
          <value t="nil">
            <val>1</val>
          </value>
        </values>
      </ddeItem>
      <ddeItem name="@CTA[8-2-7-3-5-3572,F,3,#6]" advise="1">
        <values>
          <value t="nil">
            <val>1</val>
          </value>
        </values>
      </ddeItem>
      <ddeItem name="@CTA[8-2-7-3-5-3572,F,4,#6]" advise="1">
        <values>
          <value t="nil">
            <val>1</val>
          </value>
        </values>
      </ddeItem>
      <ddeItem name="@CTA[8-2-7-3-5-3572,F,5,#6]" advise="1">
        <values>
          <value t="nil">
            <val>1</val>
          </value>
        </values>
      </ddeItem>
      <ddeItem name="@CTA[8-2-7-3-5-3572,F,6,#6]" advise="1">
        <values>
          <value t="nil">
            <val>1</val>
          </value>
        </values>
      </ddeItem>
      <ddeItem name="@CTA[8-2-7-3-5-3572,F,7,#6]" advise="1">
        <values>
          <value>
            <val>42399.999999999993</val>
          </value>
        </values>
      </ddeItem>
      <ddeItem name="@CTA[8-2-7-3-5-3572,F,8,#6]" advise="1">
        <values>
          <value t="nil">
            <val>1</val>
          </value>
        </values>
      </ddeItem>
      <ddeItem name="@CTA[8-2-7-3-5-3572,F,9,#6]" advise="1">
        <values>
          <value t="nil">
            <val>1</val>
          </value>
        </values>
      </ddeItem>
      <ddeItem name="@CTA[8-2-7-3-5-3573,F,1,#6]" advise="1">
        <values>
          <value>
            <val>0</val>
          </value>
        </values>
      </ddeItem>
      <ddeItem name="@CTA[8-2-7-3-5-3573,F,2,#6]" advise="1">
        <values>
          <value t="nil">
            <val>1</val>
          </value>
        </values>
      </ddeItem>
      <ddeItem name="@CTA[8-2-7-3-5-3573,F,3,#6]" advise="1">
        <values>
          <value t="nil">
            <val>1</val>
          </value>
        </values>
      </ddeItem>
      <ddeItem name="@CTA[8-2-7-3-5-3573,F,4,#6]" advise="1">
        <values>
          <value t="nil">
            <val>1</val>
          </value>
        </values>
      </ddeItem>
      <ddeItem name="@CTA[8-2-7-3-5-3573,F,5,#6]" advise="1">
        <values>
          <value t="nil">
            <val>1</val>
          </value>
        </values>
      </ddeItem>
      <ddeItem name="@CTA[8-2-7-3-5-3573,F,6,#6]" advise="1">
        <values>
          <value t="nil">
            <val>1</val>
          </value>
        </values>
      </ddeItem>
      <ddeItem name="@CTA[8-2-7-3-5-3573,F,7,#6]" advise="1">
        <values>
          <value>
            <val>154313.41</val>
          </value>
        </values>
      </ddeItem>
      <ddeItem name="@CTA[8-2-7-3-5-3573,F,8,#6]" advise="1">
        <values>
          <value t="nil">
            <val>1</val>
          </value>
        </values>
      </ddeItem>
      <ddeItem name="@CTA[8-2-7-3-5-3573,F,9,#6]" advise="1">
        <values>
          <value t="nil">
            <val>1</val>
          </value>
        </values>
      </ddeItem>
      <ddeItem name="@CTA[8-2-7-3-5-3574,F,1,#6]" advise="1">
        <values>
          <value t="nil">
            <val>1</val>
          </value>
        </values>
      </ddeItem>
      <ddeItem name="@CTA[8-2-7-3-5-3574,F,2,#6]" advise="1">
        <values>
          <value t="nil">
            <val>1</val>
          </value>
        </values>
      </ddeItem>
      <ddeItem name="@CTA[8-2-7-3-5-3574,F,3,#6]" advise="1">
        <values>
          <value t="nil">
            <val>1</val>
          </value>
        </values>
      </ddeItem>
      <ddeItem name="@CTA[8-2-7-3-5-3574,F,4,#6]" advise="1">
        <values>
          <value t="nil">
            <val>1</val>
          </value>
        </values>
      </ddeItem>
      <ddeItem name="@CTA[8-2-7-3-5-3574,F,5,#6]" advise="1">
        <values>
          <value t="nil">
            <val>1</val>
          </value>
        </values>
      </ddeItem>
      <ddeItem name="@CTA[8-2-7-3-5-3574,F,6,#6]" advise="1">
        <values>
          <value t="nil">
            <val>1</val>
          </value>
        </values>
      </ddeItem>
      <ddeItem name="@CTA[8-2-7-3-5-3574,F,7,#6]" advise="1">
        <values>
          <value>
            <val>28000</val>
          </value>
        </values>
      </ddeItem>
      <ddeItem name="@CTA[8-2-7-3-5-3574,F,8,#6]" advise="1">
        <values>
          <value t="nil">
            <val>1</val>
          </value>
        </values>
      </ddeItem>
      <ddeItem name="@CTA[8-2-7-3-5-3574,F,9,#6]" advise="1">
        <values>
          <value t="nil">
            <val>1</val>
          </value>
        </values>
      </ddeItem>
      <ddeItem name="@CTA[8-2-7-3-5-3575,F,1,#6]" advise="1">
        <values>
          <value t="nil">
            <val>1</val>
          </value>
        </values>
      </ddeItem>
      <ddeItem name="@CTA[8-2-7-3-5-3575,F,2,#6]" advise="1">
        <values>
          <value t="nil">
            <val>1</val>
          </value>
        </values>
      </ddeItem>
      <ddeItem name="@CTA[8-2-7-3-5-3575,F,3,#6]" advise="1">
        <values>
          <value t="nil">
            <val>1</val>
          </value>
        </values>
      </ddeItem>
      <ddeItem name="@CTA[8-2-7-3-5-3575,F,4,#6]" advise="1">
        <values>
          <value t="nil">
            <val>1</val>
          </value>
        </values>
      </ddeItem>
      <ddeItem name="@CTA[8-2-7-3-5-3575,F,5,#6]" advise="1">
        <values>
          <value t="nil">
            <val>1</val>
          </value>
        </values>
      </ddeItem>
      <ddeItem name="@CTA[8-2-7-3-5-3575,F,6,#6]" advise="1">
        <values>
          <value t="nil">
            <val>1</val>
          </value>
        </values>
      </ddeItem>
      <ddeItem name="@CTA[8-2-7-3-5-3575,F,7,#6]" advise="1">
        <values>
          <value>
            <val>40265.000000000007</val>
          </value>
        </values>
      </ddeItem>
      <ddeItem name="@CTA[8-2-7-3-5-3575,F,8,#6]" advise="1">
        <values>
          <value t="nil">
            <val>1</val>
          </value>
        </values>
      </ddeItem>
      <ddeItem name="@CTA[8-2-7-3-5-3575,F,9,#6]" advise="1">
        <values>
          <value t="nil">
            <val>1</val>
          </value>
        </values>
      </ddeItem>
      <ddeItem name="@CTA[8-2-7-3-5-3576,F,1,#6]" advise="1">
        <values>
          <value t="nil">
            <val>1</val>
          </value>
        </values>
      </ddeItem>
      <ddeItem name="@CTA[8-2-7-3-5-3576,F,2,#6]" advise="1">
        <values>
          <value t="nil">
            <val>1</val>
          </value>
        </values>
      </ddeItem>
      <ddeItem name="@CTA[8-2-7-3-5-3576,F,3,#6]" advise="1">
        <values>
          <value t="nil">
            <val>1</val>
          </value>
        </values>
      </ddeItem>
      <ddeItem name="@CTA[8-2-7-3-5-3576,F,4,#6]" advise="1">
        <values>
          <value t="nil">
            <val>1</val>
          </value>
        </values>
      </ddeItem>
      <ddeItem name="@CTA[8-2-7-3-5-3576,F,5,#6]" advise="1">
        <values>
          <value t="nil">
            <val>1</val>
          </value>
        </values>
      </ddeItem>
      <ddeItem name="@CTA[8-2-7-3-5-3576,F,6,#6]" advise="1">
        <values>
          <value t="nil">
            <val>1</val>
          </value>
        </values>
      </ddeItem>
      <ddeItem name="@CTA[8-2-7-3-5-3576,F,7,#6]" advise="1">
        <values>
          <value>
            <val>8613.0499999999993</val>
          </value>
        </values>
      </ddeItem>
      <ddeItem name="@CTA[8-2-7-3-5-3576,F,8,#6]" advise="1">
        <values>
          <value t="nil">
            <val>1</val>
          </value>
        </values>
      </ddeItem>
      <ddeItem name="@CTA[8-2-7-3-5-3576,F,9,#6]" advise="1">
        <values>
          <value t="nil">
            <val>1</val>
          </value>
        </values>
      </ddeItem>
      <ddeItem name="@CTA[8-2-7-3-5-3577,F,1,#6]" advise="1">
        <values>
          <value t="nil">
            <val>1</val>
          </value>
        </values>
      </ddeItem>
      <ddeItem name="@CTA[8-2-7-3-5-3577,F,2,#6]" advise="1">
        <values>
          <value t="nil">
            <val>1</val>
          </value>
        </values>
      </ddeItem>
      <ddeItem name="@CTA[8-2-7-3-5-3577,F,3,#6]" advise="1">
        <values>
          <value t="nil">
            <val>1</val>
          </value>
        </values>
      </ddeItem>
      <ddeItem name="@CTA[8-2-7-3-5-3577,F,4,#6]" advise="1">
        <values>
          <value t="nil">
            <val>1</val>
          </value>
        </values>
      </ddeItem>
      <ddeItem name="@CTA[8-2-7-3-5-3577,F,5,#6]" advise="1">
        <values>
          <value t="nil">
            <val>1</val>
          </value>
        </values>
      </ddeItem>
      <ddeItem name="@CTA[8-2-7-3-5-3577,F,6,#6]" advise="1">
        <values>
          <value t="nil">
            <val>1</val>
          </value>
        </values>
      </ddeItem>
      <ddeItem name="@CTA[8-2-7-3-5-3577,F,7,#6]" advise="1">
        <values>
          <value>
            <val>0</val>
          </value>
        </values>
      </ddeItem>
      <ddeItem name="@CTA[8-2-7-3-5-3577,F,8,#6]" advise="1">
        <values>
          <value t="nil">
            <val>1</val>
          </value>
        </values>
      </ddeItem>
      <ddeItem name="@CTA[8-2-7-3-5-3577,F,9,#6]" advise="1">
        <values>
          <value t="nil">
            <val>1</val>
          </value>
        </values>
      </ddeItem>
      <ddeItem name="@CTA[8-2-7-3-6,F,#5]" advise="1">
        <values>
          <value>
            <val>15259.349999999979</val>
          </value>
        </values>
      </ddeItem>
      <ddeItem name="@CTA[8-2-7-3-6-3611,F,1,#6]" advise="1">
        <values>
          <value t="nil">
            <val>1</val>
          </value>
        </values>
      </ddeItem>
      <ddeItem name="@CTA[8-2-7-3-6-3611,F,2,#6]" advise="1">
        <values>
          <value>
            <val>0</val>
          </value>
        </values>
      </ddeItem>
      <ddeItem name="@CTA[8-2-7-3-6-3611,F,3,#6]" advise="1">
        <values>
          <value>
            <val>0</val>
          </value>
        </values>
      </ddeItem>
      <ddeItem name="@CTA[8-2-7-3-6-3611,F,4,#6]" advise="1">
        <values>
          <value t="nil">
            <val>1</val>
          </value>
        </values>
      </ddeItem>
      <ddeItem name="@CTA[8-2-7-3-6-3611,F,5,#6]" advise="1">
        <values>
          <value>
            <val>7.2759576141834259E-12</val>
          </value>
        </values>
      </ddeItem>
      <ddeItem name="@CTA[8-2-7-3-6-3611,F,6,#6]" advise="1">
        <values>
          <value t="nil">
            <val>1</val>
          </value>
        </values>
      </ddeItem>
      <ddeItem name="@CTA[8-2-7-3-6-3611,F,7,#6]" advise="1">
        <values>
          <value>
            <val>0</val>
          </value>
        </values>
      </ddeItem>
      <ddeItem name="@CTA[8-2-7-3-6-3611,F,8,#6]" advise="1">
        <values>
          <value>
            <val>15259.349999999979</val>
          </value>
        </values>
      </ddeItem>
      <ddeItem name="@CTA[8-2-7-3-6-3611,F,9,#6]" advise="1">
        <values>
          <value t="nil">
            <val>1</val>
          </value>
        </values>
      </ddeItem>
      <ddeItem name="@CTA[8-2-7-3-7,F,#5]" advise="1">
        <values>
          <value>
            <val>1603.3700000000006</val>
          </value>
        </values>
      </ddeItem>
      <ddeItem name="@CTA[8-2-7-3-7-3721,F,1,#6]" advise="1">
        <values>
          <value>
            <val>0</val>
          </value>
        </values>
      </ddeItem>
      <ddeItem name="@CTA[8-2-7-3-7-3721,F,2,#6]" advise="1">
        <values>
          <value>
            <val>-5.6843418860808015E-13</val>
          </value>
        </values>
      </ddeItem>
      <ddeItem name="@CTA[8-2-7-3-7-3721,F,3,#6]" advise="1">
        <values>
          <value>
            <val>0</val>
          </value>
        </values>
      </ddeItem>
      <ddeItem name="@CTA[8-2-7-3-7-3721,F,4,#6]" advise="1">
        <values>
          <value>
            <val>0</val>
          </value>
        </values>
      </ddeItem>
      <ddeItem name="@CTA[8-2-7-3-7-3721,F,5,#6]" advise="1">
        <values>
          <value>
            <val>0</val>
          </value>
        </values>
      </ddeItem>
      <ddeItem name="@CTA[8-2-7-3-7-3721,F,6,#6]" advise="1">
        <values>
          <value>
            <val>0</val>
          </value>
        </values>
      </ddeItem>
      <ddeItem name="@CTA[8-2-7-3-7-3721,F,7,#6]" advise="1">
        <values>
          <value>
            <val>2.8421709430404007E-14</val>
          </value>
        </values>
      </ddeItem>
      <ddeItem name="@CTA[8-2-7-3-7-3721,F,8,#6]" advise="1">
        <values>
          <value>
            <val>0</val>
          </value>
        </values>
      </ddeItem>
      <ddeItem name="@CTA[8-2-7-3-7-3721,F,9,#6]" advise="1">
        <values>
          <value>
            <val>0</val>
          </value>
        </values>
      </ddeItem>
      <ddeItem name="@CTA[8-2-7-3-7-3722,F,1,#6]" advise="1">
        <values>
          <value t="nil">
            <val>1</val>
          </value>
        </values>
      </ddeItem>
      <ddeItem name="@CTA[8-2-7-3-7-3722,F,2,#6]" advise="1">
        <values>
          <value t="nil">
            <val>1</val>
          </value>
        </values>
      </ddeItem>
      <ddeItem name="@CTA[8-2-7-3-7-3722,F,3,#6]" advise="1">
        <values>
          <value t="nil">
            <val>1</val>
          </value>
        </values>
      </ddeItem>
      <ddeItem name="@CTA[8-2-7-3-7-3722,F,4,#6]" advise="1">
        <values>
          <value t="nil">
            <val>1</val>
          </value>
        </values>
      </ddeItem>
      <ddeItem name="@CTA[8-2-7-3-7-3722,F,5,#6]" advise="1">
        <values>
          <value t="nil">
            <val>1</val>
          </value>
        </values>
      </ddeItem>
      <ddeItem name="@CTA[8-2-7-3-7-3722,F,6,#6]" advise="1">
        <values>
          <value t="nil">
            <val>1</val>
          </value>
        </values>
      </ddeItem>
      <ddeItem name="@CTA[8-2-7-3-7-3722,F,7,#6]" advise="1">
        <values>
          <value t="nil">
            <val>1</val>
          </value>
        </values>
      </ddeItem>
      <ddeItem name="@CTA[8-2-7-3-7-3722,F,8,#6]" advise="1">
        <values>
          <value t="nil">
            <val>1</val>
          </value>
        </values>
      </ddeItem>
      <ddeItem name="@CTA[8-2-7-3-7-3722,F,9,#6]" advise="1">
        <values>
          <value t="nil">
            <val>1</val>
          </value>
        </values>
      </ddeItem>
      <ddeItem name="@CTA[8-2-7-3-7-3751,F,1,#6]" advise="1">
        <values>
          <value>
            <val>0</val>
          </value>
        </values>
      </ddeItem>
      <ddeItem name="@CTA[8-2-7-3-7-3751,F,2,#6]" advise="1">
        <values>
          <value>
            <val>644.55000000000007</val>
          </value>
        </values>
      </ddeItem>
      <ddeItem name="@CTA[8-2-7-3-7-3751,F,3,#6]" advise="1">
        <values>
          <value>
            <val>0</val>
          </value>
        </values>
      </ddeItem>
      <ddeItem name="@CTA[8-2-7-3-7-3751,F,4,#6]" advise="1">
        <values>
          <value>
            <val>0</val>
          </value>
        </values>
      </ddeItem>
      <ddeItem name="@CTA[8-2-7-3-7-3751,F,5,#6]" advise="1">
        <values>
          <value>
            <val>0</val>
          </value>
        </values>
      </ddeItem>
      <ddeItem name="@CTA[8-2-7-3-7-3751,F,6,#6]" advise="1">
        <values>
          <value>
            <val>0</val>
          </value>
        </values>
      </ddeItem>
      <ddeItem name="@CTA[8-2-7-3-7-3751,F,7,#6]" advise="1">
        <values>
          <value>
            <val>591.4</val>
          </value>
        </values>
      </ddeItem>
      <ddeItem name="@CTA[8-2-7-3-7-3751,F,8,#6]" advise="1">
        <values>
          <value>
            <val>5.6843418860808015E-14</val>
          </value>
        </values>
      </ddeItem>
      <ddeItem name="@CTA[8-2-7-3-7-3751,F,9,#6]" advise="1">
        <values>
          <value>
            <val>367.42000000000019</val>
          </value>
        </values>
      </ddeItem>
      <ddeItem name="@CTA[8-2-7-3-8,F,#5]" advise="1">
        <values>
          <value>
            <val>41463.430000000058</val>
          </value>
        </values>
      </ddeItem>
      <ddeItem name="@CTA[8-2-7-3-8-3821,F,1,#6]" advise="1">
        <values>
          <value>
            <val>0</val>
          </value>
        </values>
      </ddeItem>
      <ddeItem name="@CTA[8-2-7-3-8-3821,F,2,#6]" advise="1">
        <values>
          <value t="nil">
            <val>1</val>
          </value>
        </values>
      </ddeItem>
      <ddeItem name="@CTA[8-2-7-3-8-3821,F,3,#6]" advise="1">
        <values>
          <value>
            <val>0</val>
          </value>
        </values>
      </ddeItem>
      <ddeItem name="@CTA[8-2-7-3-8-3821,F,4,#6]" advise="1">
        <values>
          <value t="nil">
            <val>1</val>
          </value>
        </values>
      </ddeItem>
      <ddeItem name="@CTA[8-2-7-3-8-3821,F,5,#6]" advise="1">
        <values>
          <value>
            <val>0</val>
          </value>
        </values>
      </ddeItem>
      <ddeItem name="@CTA[8-2-7-3-8-3821,F,6,#6]" advise="1">
        <values>
          <value t="nil">
            <val>1</val>
          </value>
        </values>
      </ddeItem>
      <ddeItem name="@CTA[8-2-7-3-8-3821,F,7,#6]" advise="1">
        <values>
          <value t="nil">
            <val>1</val>
          </value>
        </values>
      </ddeItem>
      <ddeItem name="@CTA[8-2-7-3-8-3821,F,8,#6]" advise="1">
        <values>
          <value>
            <val>25337.900000000023</val>
          </value>
        </values>
      </ddeItem>
      <ddeItem name="@CTA[8-2-7-3-8-3821,F,9,#6]" advise="1">
        <values>
          <value t="nil">
            <val>1</val>
          </value>
        </values>
      </ddeItem>
      <ddeItem name="@CTA[8-2-7-3-8-3822,F,1,#6]" advise="1">
        <values>
          <value>
            <val>0</val>
          </value>
        </values>
      </ddeItem>
      <ddeItem name="@CTA[8-2-7-3-8-3822,F,2,#6]" advise="1">
        <values>
          <value>
            <val>0</val>
          </value>
        </values>
      </ddeItem>
      <ddeItem name="@CTA[8-2-7-3-8-3822,F,3,#6]" advise="1">
        <values>
          <value t="nil">
            <val>1</val>
          </value>
        </values>
      </ddeItem>
      <ddeItem name="@CTA[8-2-7-3-8-3822,F,4,#6]" advise="1">
        <values>
          <value t="nil">
            <val>1</val>
          </value>
        </values>
      </ddeItem>
      <ddeItem name="@CTA[8-2-7-3-8-3822,F,5,#6]" advise="1">
        <values>
          <value>
            <val>0</val>
          </value>
        </values>
      </ddeItem>
      <ddeItem name="@CTA[8-2-7-3-8-3822,F,6,#6]" advise="1">
        <values>
          <value t="nil">
            <val>1</val>
          </value>
        </values>
      </ddeItem>
      <ddeItem name="@CTA[8-2-7-3-8-3822,F,7,#6]" advise="1">
        <values>
          <value t="nil">
            <val>1</val>
          </value>
        </values>
      </ddeItem>
      <ddeItem name="@CTA[8-2-7-3-8-3822,F,8,#6]" advise="1">
        <values>
          <value>
            <val>15263.460000000054</val>
          </value>
        </values>
      </ddeItem>
      <ddeItem name="@CTA[8-2-7-3-8-3822,F,9,#6]" advise="1">
        <values>
          <value t="nil">
            <val>1</val>
          </value>
        </values>
      </ddeItem>
      <ddeItem name="@CTA[8-2-7-3-8-3831,F,1,#6]" advise="1">
        <values>
          <value>
            <val>0</val>
          </value>
        </values>
      </ddeItem>
      <ddeItem name="@CTA[8-2-7-3-8-3831,F,2,#6]" advise="1">
        <values>
          <value t="nil">
            <val>1</val>
          </value>
        </values>
      </ddeItem>
      <ddeItem name="@CTA[8-2-7-3-8-3831,F,3,#6]" advise="1">
        <values>
          <value>
            <val>0</val>
          </value>
        </values>
      </ddeItem>
      <ddeItem name="@CTA[8-2-7-3-8-3831,F,4,#6]" advise="1">
        <values>
          <value t="nil">
            <val>1</val>
          </value>
        </values>
      </ddeItem>
      <ddeItem name="@CTA[8-2-7-3-8-3831,F,5,#6]" advise="1">
        <values>
          <value>
            <val>0</val>
          </value>
        </values>
      </ddeItem>
      <ddeItem name="@CTA[8-2-7-3-8-3831,F,6,#6]" advise="1">
        <values>
          <value t="nil">
            <val>1</val>
          </value>
        </values>
      </ddeItem>
      <ddeItem name="@CTA[8-2-7-3-8-3831,F,7,#6]" advise="1">
        <values>
          <value t="nil">
            <val>1</val>
          </value>
        </values>
      </ddeItem>
      <ddeItem name="@CTA[8-2-7-3-8-3831,F,8,#6]" advise="1">
        <values>
          <value>
            <val>3.637978807091713E-12</val>
          </value>
        </values>
      </ddeItem>
      <ddeItem name="@CTA[8-2-7-3-8-3831,F,9,#6]" advise="1">
        <values>
          <value t="nil">
            <val>1</val>
          </value>
        </values>
      </ddeItem>
      <ddeItem name="@CTA[8-2-7-3-8-3851,F,1,#6]" advise="1">
        <values>
          <value t="nil">
            <val>1</val>
          </value>
        </values>
      </ddeItem>
      <ddeItem name="@CTA[8-2-7-3-8-3851,F,2,#6]" advise="1">
        <values>
          <value>
            <val>862.06999999999732</val>
          </value>
        </values>
      </ddeItem>
      <ddeItem name="@CTA[8-2-7-3-8-3851,F,3,#6]" advise="1">
        <values>
          <value t="nil">
            <val>1</val>
          </value>
        </values>
      </ddeItem>
      <ddeItem name="@CTA[8-2-7-3-8-3851,F,4,#6]" advise="1">
        <values>
          <value t="nil">
            <val>1</val>
          </value>
        </values>
      </ddeItem>
      <ddeItem name="@CTA[8-2-7-3-8-3851,F,5,#6]" advise="1">
        <values>
          <value t="nil">
            <val>1</val>
          </value>
        </values>
      </ddeItem>
      <ddeItem name="@CTA[8-2-7-3-8-3851,F,6,#6]" advise="1">
        <values>
          <value t="nil">
            <val>1</val>
          </value>
        </values>
      </ddeItem>
      <ddeItem name="@CTA[8-2-7-3-8-3851,F,7,#6]" advise="1">
        <values>
          <value t="nil">
            <val>1</val>
          </value>
        </values>
      </ddeItem>
      <ddeItem name="@CTA[8-2-7-3-8-3851,F,8,#6]" advise="1">
        <values>
          <value>
            <val>0</val>
          </value>
        </values>
      </ddeItem>
      <ddeItem name="@CTA[8-2-7-3-8-3851,F,9,#6]" advise="1">
        <values>
          <value t="nil">
            <val>1</val>
          </value>
        </values>
      </ddeItem>
      <ddeItem name="@CTA[8-2-7-3-9,F,#5]" advise="1">
        <values>
          <value>
            <val>513935.20999999996</val>
          </value>
        </values>
      </ddeItem>
      <ddeItem name="@CTA[8-2-7-3-9-3921,F,1,#6]" advise="1">
        <values>
          <value>
            <val>417109</val>
          </value>
        </values>
      </ddeItem>
      <ddeItem name="@CTA[8-2-7-3-9-3921,F,2,#6]" advise="1">
        <values>
          <value t="nil">
            <val>1</val>
          </value>
        </values>
      </ddeItem>
      <ddeItem name="@CTA[8-2-7-3-9-3921,F,3,#6]" advise="1">
        <values>
          <value t="nil">
            <val>1</val>
          </value>
        </values>
      </ddeItem>
      <ddeItem name="@CTA[8-2-7-3-9-3921,F,4,#6]" advise="1">
        <values>
          <value t="nil">
            <val>1</val>
          </value>
        </values>
      </ddeItem>
      <ddeItem name="@CTA[8-2-7-3-9-3921,F,5,#6]" advise="1">
        <values>
          <value t="nil">
            <val>1</val>
          </value>
        </values>
      </ddeItem>
      <ddeItem name="@CTA[8-2-7-3-9-3921,F,6,#6]" advise="1">
        <values>
          <value t="nil">
            <val>1</val>
          </value>
        </values>
      </ddeItem>
      <ddeItem name="@CTA[8-2-7-3-9-3921,F,7,#6]" advise="1">
        <values>
          <value t="nil">
            <val>1</val>
          </value>
        </values>
      </ddeItem>
      <ddeItem name="@CTA[8-2-7-3-9-3921,F,8,#6]" advise="1">
        <values>
          <value t="nil">
            <val>1</val>
          </value>
        </values>
      </ddeItem>
      <ddeItem name="@CTA[8-2-7-3-9-3921,F,9,#6]" advise="1">
        <values>
          <value t="nil">
            <val>1</val>
          </value>
        </values>
      </ddeItem>
      <ddeItem name="@CTA[8-2-7-3-9-3922,F,1,#6]" advise="1">
        <values>
          <value t="nil">
            <val>1</val>
          </value>
        </values>
      </ddeItem>
      <ddeItem name="@CTA[8-2-7-3-9-3922,F,2,#6]" advise="1">
        <values>
          <value t="nil">
            <val>1</val>
          </value>
        </values>
      </ddeItem>
      <ddeItem name="@CTA[8-2-7-3-9-3922,F,3,#6]" advise="1">
        <values>
          <value t="nil">
            <val>1</val>
          </value>
        </values>
      </ddeItem>
      <ddeItem name="@CTA[8-2-7-3-9-3922,F,4,#6]" advise="1">
        <values>
          <value t="nil">
            <val>1</val>
          </value>
        </values>
      </ddeItem>
      <ddeItem name="@CTA[8-2-7-3-9-3922,F,5,#6]" advise="1">
        <values>
          <value t="nil">
            <val>1</val>
          </value>
        </values>
      </ddeItem>
      <ddeItem name="@CTA[8-2-7-3-9-3922,F,6,#6]" advise="1">
        <values>
          <value t="nil">
            <val>1</val>
          </value>
        </values>
      </ddeItem>
      <ddeItem name="@CTA[8-2-7-3-9-3922,F,7,#6]" advise="1">
        <values>
          <value>
            <val>28843</val>
          </value>
        </values>
      </ddeItem>
      <ddeItem name="@CTA[8-2-7-3-9-3922,F,8,#6]" advise="1">
        <values>
          <value t="nil">
            <val>1</val>
          </value>
        </values>
      </ddeItem>
      <ddeItem name="@CTA[8-2-7-3-9-3922,F,9,#6]" advise="1">
        <values>
          <value>
            <val>0</val>
          </value>
        </values>
      </ddeItem>
      <ddeItem name="@CTA[8-2-7-3-9-3923,F,1,#6]" advise="1">
        <values>
          <value>
            <val>3686</val>
          </value>
        </values>
      </ddeItem>
      <ddeItem name="@CTA[8-2-7-3-9-3923,F,2,#6]" advise="1">
        <values>
          <value>
            <val>431</val>
          </value>
        </values>
      </ddeItem>
      <ddeItem name="@CTA[8-2-7-3-9-3923,F,3,#6]" advise="1">
        <values>
          <value t="nil">
            <val>1</val>
          </value>
        </values>
      </ddeItem>
      <ddeItem name="@CTA[8-2-7-3-9-3923,F,4,#6]" advise="1">
        <values>
          <value t="nil">
            <val>1</val>
          </value>
        </values>
      </ddeItem>
      <ddeItem name="@CTA[8-2-7-3-9-3923,F,5,#6]" advise="1">
        <values>
          <value>
            <val>119</val>
          </value>
        </values>
      </ddeItem>
      <ddeItem name="@CTA[8-2-7-3-9-3923,F,6,#6]" advise="1">
        <values>
          <value>
            <val>0</val>
          </value>
        </values>
      </ddeItem>
      <ddeItem name="@CTA[8-2-7-3-9-3923,F,7,#6]" advise="1">
        <values>
          <value>
            <val>431</val>
          </value>
        </values>
      </ddeItem>
      <ddeItem name="@CTA[8-2-7-3-9-3923,F,8,#6]" advise="1">
        <values>
          <value>
            <val>431</val>
          </value>
        </values>
      </ddeItem>
      <ddeItem name="@CTA[8-2-7-3-9-3923,F,9,#6]" advise="1">
        <values>
          <value>
            <val>431</val>
          </value>
        </values>
      </ddeItem>
      <ddeItem name="@CTA[8-2-7-3-9-3924,F,1,#6]" advise="1">
        <values>
          <value>
            <val>4691.2299999999996</val>
          </value>
        </values>
      </ddeItem>
      <ddeItem name="@CTA[8-2-7-3-9-3924,F,2,#6]" advise="1">
        <values>
          <value>
            <val>0</val>
          </value>
        </values>
      </ddeItem>
      <ddeItem name="@CTA[8-2-7-3-9-3924,F,3,#6]" advise="1">
        <values>
          <value>
            <val>586.4</val>
          </value>
        </values>
      </ddeItem>
      <ddeItem name="@CTA[8-2-7-3-9-3924,F,4,#6]" advise="1">
        <values>
          <value>
            <val>781.87</val>
          </value>
        </values>
      </ddeItem>
      <ddeItem name="@CTA[8-2-7-3-9-3924,F,5,#6]" advise="1">
        <values>
          <value>
            <val>1368.28</val>
          </value>
        </values>
      </ddeItem>
      <ddeItem name="@CTA[8-2-7-3-9-3924,F,6,#6]" advise="1">
        <values>
          <value t="nil">
            <val>1</val>
          </value>
        </values>
      </ddeItem>
      <ddeItem name="@CTA[8-2-7-3-9-3924,F,7,#6]" advise="1">
        <values>
          <value>
            <val>977.34</val>
          </value>
        </values>
      </ddeItem>
      <ddeItem name="@CTA[8-2-7-3-9-3924,F,8,#6]" advise="1">
        <values>
          <value>
            <val>390.94</val>
          </value>
        </values>
      </ddeItem>
      <ddeItem name="@CTA[8-2-7-3-9-3924,F,9,#6]" advise="1">
        <values>
          <value>
            <val>390.94</val>
          </value>
        </values>
      </ddeItem>
      <ddeItem name="@CTA[8-2-7-3-9-3925,F,1,#6]" advise="1">
        <values>
          <value>
            <val>3163.5100000000066</val>
          </value>
        </values>
      </ddeItem>
      <ddeItem name="@CTA[8-2-7-3-9-3925,F,2,#6]" advise="1">
        <values>
          <value>
            <val>202.59000000000177</val>
          </value>
        </values>
      </ddeItem>
      <ddeItem name="@CTA[8-2-7-3-9-3925,F,3,#6]" advise="1">
        <values>
          <value>
            <val>5207</val>
          </value>
        </values>
      </ddeItem>
      <ddeItem name="@CTA[8-2-7-3-9-3925,F,4,#6]" advise="1">
        <values>
          <value>
            <val>0</val>
          </value>
        </values>
      </ddeItem>
      <ddeItem name="@CTA[8-2-7-3-9-3925,F,5,#6]" advise="1">
        <values>
          <value>
            <val>0</val>
          </value>
        </values>
      </ddeItem>
      <ddeItem name="@CTA[8-2-7-3-9-3925,F,6,#6]" advise="1">
        <values>
          <value>
            <val>0</val>
          </value>
        </values>
      </ddeItem>
      <ddeItem name="@CTA[8-2-7-3-9-3925,F,7,#6]" advise="1">
        <values>
          <value>
            <val>-4.5474735088646412E-13</val>
          </value>
        </values>
      </ddeItem>
      <ddeItem name="@CTA[8-2-7-3-9-3925,F,8,#6]" advise="1">
        <values>
          <value>
            <val>-1.1368683772161603E-13</val>
          </value>
        </values>
      </ddeItem>
      <ddeItem name="@CTA[8-2-7-3-9-3925,F,9,#6]" advise="1">
        <values>
          <value>
            <val>202.59000000000006</val>
          </value>
        </values>
      </ddeItem>
      <ddeItem name="@CTA[8-2-7-3-9-3926,F,1,#6]" advise="1">
        <values>
          <value t="nil">
            <val>1</val>
          </value>
        </values>
      </ddeItem>
      <ddeItem name="@CTA[8-2-7-3-9-3926,F,2,#6]" advise="1">
        <values>
          <value t="nil">
            <val>1</val>
          </value>
        </values>
      </ddeItem>
      <ddeItem name="@CTA[8-2-7-3-9-3926,F,3,#6]" advise="1">
        <values>
          <value>
            <val>0</val>
          </value>
        </values>
      </ddeItem>
      <ddeItem name="@CTA[8-2-7-3-9-3926,F,4,#6]" advise="1">
        <values>
          <value t="nil">
            <val>1</val>
          </value>
        </values>
      </ddeItem>
      <ddeItem name="@CTA[8-2-7-3-9-3926,F,5,#6]" advise="1">
        <values>
          <value t="nil">
            <val>1</val>
          </value>
        </values>
      </ddeItem>
      <ddeItem name="@CTA[8-2-7-3-9-3926,F,6,#6]" advise="1">
        <values>
          <value t="nil">
            <val>1</val>
          </value>
        </values>
      </ddeItem>
      <ddeItem name="@CTA[8-2-7-3-9-3926,F,7,#6]" advise="1">
        <values>
          <value t="nil">
            <val>1</val>
          </value>
        </values>
      </ddeItem>
      <ddeItem name="@CTA[8-2-7-3-9-3926,F,8,#6]" advise="1">
        <values>
          <value t="nil">
            <val>1</val>
          </value>
        </values>
      </ddeItem>
      <ddeItem name="@CTA[8-2-7-3-9-3926,F,9,#6]" advise="1">
        <values>
          <value t="nil">
            <val>1</val>
          </value>
        </values>
      </ddeItem>
      <ddeItem name="@CTA[8-2-7-3-9-3961,F,1,#6]" advise="1">
        <values>
          <value>
            <val>0</val>
          </value>
        </values>
      </ddeItem>
      <ddeItem name="@CTA[8-2-7-3-9-3961,F,2,#6]" advise="1">
        <values>
          <value>
            <val>0</val>
          </value>
        </values>
      </ddeItem>
      <ddeItem name="@CTA[8-2-7-3-9-3961,F,3,#6]" advise="1">
        <values>
          <value>
            <val>0</val>
          </value>
        </values>
      </ddeItem>
      <ddeItem name="@CTA[8-2-7-3-9-3961,F,4,#6]" advise="1">
        <values>
          <value t="nil">
            <val>1</val>
          </value>
        </values>
      </ddeItem>
      <ddeItem name="@CTA[8-2-7-3-9-3961,F,5,#6]" advise="1">
        <values>
          <value t="nil">
            <val>1</val>
          </value>
        </values>
      </ddeItem>
      <ddeItem name="@CTA[8-2-7-3-9-3961,F,6,#6]" advise="1">
        <values>
          <value t="nil">
            <val>1</val>
          </value>
        </values>
      </ddeItem>
      <ddeItem name="@CTA[8-2-7-3-9-3961,F,7,#6]" advise="1">
        <values>
          <value t="nil">
            <val>1</val>
          </value>
        </values>
      </ddeItem>
      <ddeItem name="@CTA[8-2-7-3-9-3961,F,8,#6]" advise="1">
        <values>
          <value t="nil">
            <val>1</val>
          </value>
        </values>
      </ddeItem>
      <ddeItem name="@CTA[8-2-7-3-9-3961,F,9,#6]" advise="1">
        <values>
          <value t="nil">
            <val>1</val>
          </value>
        </values>
      </ddeItem>
      <ddeItem name="@CTA[8-2-7-3-9-3962,F,1,#6]" advise="1">
        <values>
          <value>
            <val>4195.7399999999989</val>
          </value>
        </values>
      </ddeItem>
      <ddeItem name="@CTA[8-2-7-3-9-3962,F,2,#6]" advise="1">
        <values>
          <value t="nil">
            <val>1</val>
          </value>
        </values>
      </ddeItem>
      <ddeItem name="@CTA[8-2-7-3-9-3962,F,3,#6]" advise="1">
        <values>
          <value>
            <val>0</val>
          </value>
        </values>
      </ddeItem>
      <ddeItem name="@CTA[8-2-7-3-9-3962,F,4,#6]" advise="1">
        <values>
          <value>
            <val>5330</val>
          </value>
        </values>
      </ddeItem>
      <ddeItem name="@CTA[8-2-7-3-9-3962,F,5,#6]" advise="1">
        <values>
          <value>
            <val>0</val>
          </value>
        </values>
      </ddeItem>
      <ddeItem name="@CTA[8-2-7-3-9-3962,F,6,#6]" advise="1">
        <values>
          <value t="nil">
            <val>1</val>
          </value>
        </values>
      </ddeItem>
      <ddeItem name="@CTA[8-2-7-3-9-3962,F,7,#6]" advise="1">
        <values>
          <value>
            <val>2549.48</val>
          </value>
        </values>
      </ddeItem>
      <ddeItem name="@CTA[8-2-7-3-9-3962,F,8,#6]" advise="1">
        <values>
          <value>
            <val>0</val>
          </value>
        </values>
      </ddeItem>
      <ddeItem name="@CTA[8-2-7-3-9-3962,F,9,#6]" advise="1">
        <values>
          <value t="nil">
            <val>1</val>
          </value>
        </values>
      </ddeItem>
      <ddeItem name="@CTA[8-2-7-3-9-3981,F,1,#6]" advise="1">
        <values>
          <value>
            <val>11523.330000000007</val>
          </value>
        </values>
      </ddeItem>
      <ddeItem name="@CTA[8-2-7-3-9-3981,F,2,#6]" advise="1">
        <values>
          <value>
            <val>3579.3100000000072</val>
          </value>
        </values>
      </ddeItem>
      <ddeItem name="@CTA[8-2-7-3-9-3981,F,3,#6]" advise="1">
        <values>
          <value>
            <val>3507.080000000009</val>
          </value>
        </values>
      </ddeItem>
      <ddeItem name="@CTA[8-2-7-3-9-3981,F,4,#6]" advise="1">
        <values>
          <value>
            <val>2573.9400000000087</val>
          </value>
        </values>
      </ddeItem>
      <ddeItem name="@CTA[8-2-7-3-9-3981,F,5,#6]" advise="1">
        <values>
          <value>
            <val>3801.0000000000036</val>
          </value>
        </values>
      </ddeItem>
      <ddeItem name="@CTA[8-2-7-3-9-3981,F,6,#6]" advise="1">
        <values>
          <value>
            <val>1034.9999999999982</val>
          </value>
        </values>
      </ddeItem>
      <ddeItem name="@CTA[8-2-7-3-9-3981,F,7,#6]" advise="1">
        <values>
          <value>
            <val>3487.3400000000038</val>
          </value>
        </values>
      </ddeItem>
      <ddeItem name="@CTA[8-2-7-3-9-3981,F,8,#6]" advise="1">
        <values>
          <value>
            <val>926.69000000000096</val>
          </value>
        </values>
      </ddeItem>
      <ddeItem name="@CTA[8-2-7-3-9-3981,F,9,#6]" advise="1">
        <values>
          <value>
            <val>1982.6100000000017</val>
          </value>
        </values>
      </ddeItem>
      <ddeItem name="@CTA[8-2-7-4,F,#4]" advise="1">
        <values>
          <value t="nil">
            <val>1</val>
          </value>
        </values>
      </ddeItem>
      <ddeItem name="@CTA[8-2-7-4-1,F,#5]" advise="1">
        <values>
          <value t="nil">
            <val>1</val>
          </value>
        </values>
      </ddeItem>
      <ddeItem name="@CTA[8-2-7-4-2,F,#5]" advise="1">
        <values>
          <value t="nil">
            <val>1</val>
          </value>
        </values>
      </ddeItem>
      <ddeItem name="@CTA[8-2-7-4-3,F,#5]" advise="1">
        <values>
          <value t="nil">
            <val>1</val>
          </value>
        </values>
      </ddeItem>
      <ddeItem name="@CTA[8-2-7-4-4,F,#5]" advise="1">
        <values>
          <value t="nil">
            <val>1</val>
          </value>
        </values>
      </ddeItem>
      <ddeItem name="@CTA[8-2-7-4-5,F,#5]" advise="1">
        <values>
          <value t="nil">
            <val>1</val>
          </value>
        </values>
      </ddeItem>
      <ddeItem name="@CTA[8-2-7-4-6,F,#5]" advise="1">
        <values>
          <value t="nil">
            <val>1</val>
          </value>
        </values>
      </ddeItem>
      <ddeItem name="@CTA[8-2-7-4-7,F,#5]" advise="1">
        <values>
          <value t="nil">
            <val>1</val>
          </value>
        </values>
      </ddeItem>
      <ddeItem name="@CTA[8-2-7-4-8,F,#5]" advise="1">
        <values>
          <value t="nil">
            <val>1</val>
          </value>
        </values>
      </ddeItem>
      <ddeItem name="@CTA[8-2-7-4-9,F,#5]" advise="1">
        <values>
          <value t="nil">
            <val>1</val>
          </value>
        </values>
      </ddeItem>
      <ddeItem name="@CTA[8-2-7-5,F,#4]" advise="1">
        <values>
          <value>
            <val>55682.480000000243</val>
          </value>
        </values>
      </ddeItem>
      <ddeItem name="@CTA[8-2-7-5-1,F,#5]" advise="1">
        <values>
          <value>
            <val>8864.6400000000867</val>
          </value>
        </values>
      </ddeItem>
      <ddeItem name="@CTA[8-2-7-5-1-5111,F,1,#6]" advise="1">
        <values>
          <value>
            <val>0</val>
          </value>
        </values>
      </ddeItem>
      <ddeItem name="@CTA[8-2-7-5-1-5111,F,2,#6]" advise="1">
        <values>
          <value>
            <val>0</val>
          </value>
        </values>
      </ddeItem>
      <ddeItem name="@CTA[8-2-7-5-1-5111,F,3,#6]" advise="1">
        <values>
          <value>
            <val>0</val>
          </value>
        </values>
      </ddeItem>
      <ddeItem name="@CTA[8-2-7-5-1-5111,F,4,#6]" advise="1">
        <values>
          <value>
            <val>0</val>
          </value>
        </values>
      </ddeItem>
      <ddeItem name="@CTA[8-2-7-5-1-5111,F,5,#6]" advise="1">
        <values>
          <value>
            <val>0</val>
          </value>
        </values>
      </ddeItem>
      <ddeItem name="@CTA[8-2-7-5-1-5111,F,6,#6]" advise="1">
        <values>
          <value t="nil">
            <val>1</val>
          </value>
        </values>
      </ddeItem>
      <ddeItem name="@CTA[8-2-7-5-1-5111,F,7,#6]" advise="1">
        <values>
          <value>
            <val>0</val>
          </value>
        </values>
      </ddeItem>
      <ddeItem name="@CTA[8-2-7-5-1-5111,F,8,#6]" advise="1">
        <values>
          <value>
            <val>0</val>
          </value>
        </values>
      </ddeItem>
      <ddeItem name="@CTA[8-2-7-5-1-5111,F,9,#6]" advise="1">
        <values>
          <value>
            <val>1.8189894035458565E-12</val>
          </value>
        </values>
      </ddeItem>
      <ddeItem name="@CTA[8-2-7-5-1-5151,F,1,#6]" advise="1">
        <values>
          <value>
            <val>0</val>
          </value>
        </values>
      </ddeItem>
      <ddeItem name="@CTA[8-2-7-5-1-5151,F,2,#6]" advise="1">
        <values>
          <value t="nil">
            <val>1</val>
          </value>
        </values>
      </ddeItem>
      <ddeItem name="@CTA[8-2-7-5-1-5151,F,3,#6]" advise="1">
        <values>
          <value>
            <val>9.0949470177292824E-13</val>
          </value>
        </values>
      </ddeItem>
      <ddeItem name="@CTA[8-2-7-5-1-5151,F,4,#6]" advise="1">
        <values>
          <value t="nil">
            <val>1</val>
          </value>
        </values>
      </ddeItem>
      <ddeItem name="@CTA[8-2-7-5-1-5151,F,5,#6]" advise="1">
        <values>
          <value>
            <val>0</val>
          </value>
        </values>
      </ddeItem>
      <ddeItem name="@CTA[8-2-7-5-1-5151,F,6,#6]" advise="1">
        <values>
          <value>
            <val>9.0949470177292824E-13</val>
          </value>
        </values>
      </ddeItem>
      <ddeItem name="@CTA[8-2-7-5-1-5151,F,7,#6]" advise="1">
        <values>
          <value>
            <val>0</val>
          </value>
        </values>
      </ddeItem>
      <ddeItem name="@CTA[8-2-7-5-1-5151,F,8,#6]" advise="1">
        <values>
          <value>
            <val>0</val>
          </value>
        </values>
      </ddeItem>
      <ddeItem name="@CTA[8-2-7-5-1-5151,F,9,#6]" advise="1">
        <values>
          <value>
            <val>-7.2759576141834259E-12</val>
          </value>
        </values>
      </ddeItem>
      <ddeItem name="@CTA[8-2-7-5-1-5152,F,1,#6]" advise="1">
        <values>
          <value t="nil">
            <val>1</val>
          </value>
        </values>
      </ddeItem>
      <ddeItem name="@CTA[8-2-7-5-1-5152,F,2,#6]" advise="1">
        <values>
          <value>
            <val>0</val>
          </value>
        </values>
      </ddeItem>
      <ddeItem name="@CTA[8-2-7-5-1-5152,F,3,#6]" advise="1">
        <values>
          <value t="nil">
            <val>1</val>
          </value>
        </values>
      </ddeItem>
      <ddeItem name="@CTA[8-2-7-5-1-5152,F,4,#6]" advise="1">
        <values>
          <value>
            <val>8864.64</val>
          </value>
        </values>
      </ddeItem>
      <ddeItem name="@CTA[8-2-7-5-1-5152,F,5,#6]" advise="1">
        <values>
          <value>
            <val>0</val>
          </value>
        </values>
      </ddeItem>
      <ddeItem name="@CTA[8-2-7-5-1-5152,F,6,#6]" advise="1">
        <values>
          <value>
            <val>-1.8189894035458565E-12</val>
          </value>
        </values>
      </ddeItem>
      <ddeItem name="@CTA[8-2-7-5-1-5152,F,7,#6]" advise="1">
        <values>
          <value t="nil">
            <val>1</val>
          </value>
        </values>
      </ddeItem>
      <ddeItem name="@CTA[8-2-7-5-1-5152,F,8,#6]" advise="1">
        <values>
          <value t="nil">
            <val>1</val>
          </value>
        </values>
      </ddeItem>
      <ddeItem name="@CTA[8-2-7-5-1-5152,F,9,#6]" advise="1">
        <values>
          <value t="nil">
            <val>1</val>
          </value>
        </values>
      </ddeItem>
      <ddeItem name="@CTA[8-2-7-5-1-5153,F,1,#6]" advise="1">
        <values>
          <value t="nil">
            <val>1</val>
          </value>
        </values>
      </ddeItem>
      <ddeItem name="@CTA[8-2-7-5-1-5153,F,2,#6]" advise="1">
        <values>
          <value t="nil">
            <val>1</val>
          </value>
        </values>
      </ddeItem>
      <ddeItem name="@CTA[8-2-7-5-1-5153,F,3,#6]" advise="1">
        <values>
          <value t="nil">
            <val>1</val>
          </value>
        </values>
      </ddeItem>
      <ddeItem name="@CTA[8-2-7-5-1-5153,F,4,#6]" advise="1">
        <values>
          <value t="nil">
            <val>1</val>
          </value>
        </values>
      </ddeItem>
      <ddeItem name="@CTA[8-2-7-5-1-5153,F,5,#6]" advise="1">
        <values>
          <value t="nil">
            <val>1</val>
          </value>
        </values>
      </ddeItem>
      <ddeItem name="@CTA[8-2-7-5-1-5153,F,6,#6]" advise="1">
        <values>
          <value>
            <val>0</val>
          </value>
        </values>
      </ddeItem>
      <ddeItem name="@CTA[8-2-7-5-1-5153,F,7,#6]" advise="1">
        <values>
          <value>
            <val>0</val>
          </value>
        </values>
      </ddeItem>
      <ddeItem name="@CTA[8-2-7-5-1-5153,F,8,#6]" advise="1">
        <values>
          <value t="nil">
            <val>1</val>
          </value>
        </values>
      </ddeItem>
      <ddeItem name="@CTA[8-2-7-5-1-5153,F,9,#6]" advise="1">
        <values>
          <value t="nil">
            <val>1</val>
          </value>
        </values>
      </ddeItem>
      <ddeItem name="@CTA[8-2-7-5-2,F,#5]" advise="1">
        <values>
          <value>
            <val>24059.22</val>
          </value>
        </values>
      </ddeItem>
      <ddeItem name="@CTA[8-2-7-5-2-5231,F,1,#6]" advise="1">
        <values>
          <value>
            <val>0</val>
          </value>
        </values>
      </ddeItem>
      <ddeItem name="@CTA[8-2-7-5-2-5231,F,2,#6]" advise="1">
        <values>
          <value>
            <val>0</val>
          </value>
        </values>
      </ddeItem>
      <ddeItem name="@CTA[8-2-7-5-2-5231,F,3,#6]" advise="1">
        <values>
          <value>
            <val>0</val>
          </value>
        </values>
      </ddeItem>
      <ddeItem name="@CTA[8-2-7-5-2-5231,F,4,#6]" advise="1">
        <values>
          <value>
            <val>0</val>
          </value>
        </values>
      </ddeItem>
      <ddeItem name="@CTA[8-2-7-5-2-5231,F,5,#6]" advise="1">
        <values>
          <value t="nil">
            <val>1</val>
          </value>
        </values>
      </ddeItem>
      <ddeItem name="@CTA[8-2-7-5-2-5231,F,6,#6]" advise="1">
        <values>
          <value t="nil">
            <val>1</val>
          </value>
        </values>
      </ddeItem>
      <ddeItem name="@CTA[8-2-7-5-2-5231,F,7,#6]" advise="1">
        <values>
          <value t="nil">
            <val>1</val>
          </value>
        </values>
      </ddeItem>
      <ddeItem name="@CTA[8-2-7-5-2-5231,F,8,#6]" advise="1">
        <values>
          <value>
            <val>0</val>
          </value>
        </values>
      </ddeItem>
      <ddeItem name="@CTA[8-2-7-5-2-5231,F,9,#6]" advise="1">
        <values>
          <value t="nil">
            <val>1</val>
          </value>
        </values>
      </ddeItem>
      <ddeItem name="@CTA[8-2-7-5-3,F,#5]" advise="1">
        <values>
          <value>
            <val>0</val>
          </value>
        </values>
      </ddeItem>
      <ddeItem name="@CTA[8-2-7-5-3-5311,F,7,#6]" advise="1">
        <values>
          <value>
            <val>0</val>
          </value>
        </values>
      </ddeItem>
      <ddeItem name="@CTA[8-2-7-5-4,F,#5]" advise="1">
        <values>
          <value>
            <val>22758.620000000003</val>
          </value>
        </values>
      </ddeItem>
      <ddeItem name="@CTA[8-2-7-5-4-5411,F,1,#6]" advise="1">
        <values>
          <value t="nil">
            <val>1</val>
          </value>
        </values>
      </ddeItem>
      <ddeItem name="@CTA[8-2-7-5-4-5411,F,2,#6]" advise="1">
        <values>
          <value t="nil">
            <val>1</val>
          </value>
        </values>
      </ddeItem>
      <ddeItem name="@CTA[8-2-7-5-4-5411,F,3,#6]" advise="1">
        <values>
          <value t="nil">
            <val>1</val>
          </value>
        </values>
      </ddeItem>
      <ddeItem name="@CTA[8-2-7-5-4-5411,F,4,#6]" advise="1">
        <values>
          <value t="nil">
            <val>1</val>
          </value>
        </values>
      </ddeItem>
      <ddeItem name="@CTA[8-2-7-5-4-5411,F,5,#6]" advise="1">
        <values>
          <value t="nil">
            <val>1</val>
          </value>
        </values>
      </ddeItem>
      <ddeItem name="@CTA[8-2-7-5-4-5411,F,6,#6]" advise="1">
        <values>
          <value t="nil">
            <val>1</val>
          </value>
        </values>
      </ddeItem>
      <ddeItem name="@CTA[8-2-7-5-4-5411,F,7,#6]" advise="1">
        <values>
          <value t="nil">
            <val>1</val>
          </value>
        </values>
      </ddeItem>
      <ddeItem name="@CTA[8-2-7-5-4-5411,F,8,#6]" advise="1">
        <values>
          <value t="nil">
            <val>1</val>
          </value>
        </values>
      </ddeItem>
      <ddeItem name="@CTA[8-2-7-5-4-5411,F,9,#6]" advise="1">
        <values>
          <value t="nil">
            <val>1</val>
          </value>
        </values>
      </ddeItem>
      <ddeItem name="@CTA[8-2-7-5-4-5491,F,1,#6]" advise="1">
        <values>
          <value>
            <val>22758.620000000003</val>
          </value>
        </values>
      </ddeItem>
      <ddeItem name="@CTA[8-2-7-5-4-5491,F,2,#6]" advise="1">
        <values>
          <value t="nil">
            <val>1</val>
          </value>
        </values>
      </ddeItem>
      <ddeItem name="@CTA[8-2-7-5-4-5491,F,3,#6]" advise="1">
        <values>
          <value t="nil">
            <val>1</val>
          </value>
        </values>
      </ddeItem>
      <ddeItem name="@CTA[8-2-7-5-4-5491,F,4,#6]" advise="1">
        <values>
          <value t="nil">
            <val>1</val>
          </value>
        </values>
      </ddeItem>
      <ddeItem name="@CTA[8-2-7-5-4-5491,F,5,#6]" advise="1">
        <values>
          <value>
            <val>0</val>
          </value>
        </values>
      </ddeItem>
      <ddeItem name="@CTA[8-2-7-5-4-5491,F,6,#6]" advise="1">
        <values>
          <value t="nil">
            <val>1</val>
          </value>
        </values>
      </ddeItem>
      <ddeItem name="@CTA[8-2-7-5-4-5491,F,7,#6]" advise="1">
        <values>
          <value t="nil">
            <val>1</val>
          </value>
        </values>
      </ddeItem>
      <ddeItem name="@CTA[8-2-7-5-4-5491,F,8,#6]" advise="1">
        <values>
          <value t="nil">
            <val>1</val>
          </value>
        </values>
      </ddeItem>
      <ddeItem name="@CTA[8-2-7-5-4-5491,F,9,#6]" advise="1">
        <values>
          <value t="nil">
            <val>1</val>
          </value>
        </values>
      </ddeItem>
      <ddeItem name="@CTA[8-2-7-5-5,F,#5]" advise="1">
        <values>
          <value>
            <val>0</val>
          </value>
        </values>
      </ddeItem>
      <ddeItem name="@CTA[8-2-7-5-6,F,#5]" advise="1">
        <values>
          <value>
            <val>0</val>
          </value>
        </values>
      </ddeItem>
      <ddeItem name="@CTA[8-2-7-5-6-5631,F,1,#6]" advise="1">
        <values>
          <value>
            <val>0</val>
          </value>
        </values>
      </ddeItem>
      <ddeItem name="@CTA[8-2-7-5-6-5631,F,2,#6]" advise="1">
        <values>
          <value t="nil">
            <val>1</val>
          </value>
        </values>
      </ddeItem>
      <ddeItem name="@CTA[8-2-7-5-6-5631,F,3,#6]" advise="1">
        <values>
          <value t="nil">
            <val>1</val>
          </value>
        </values>
      </ddeItem>
      <ddeItem name="@CTA[8-2-7-5-6-5631,F,4,#6]" advise="1">
        <values>
          <value t="nil">
            <val>1</val>
          </value>
        </values>
      </ddeItem>
      <ddeItem name="@CTA[8-2-7-5-6-5631,F,5,#6]" advise="1">
        <values>
          <value t="nil">
            <val>1</val>
          </value>
        </values>
      </ddeItem>
      <ddeItem name="@CTA[8-2-7-5-6-5631,F,6,#6]" advise="1">
        <values>
          <value t="nil">
            <val>1</val>
          </value>
        </values>
      </ddeItem>
      <ddeItem name="@CTA[8-2-7-5-6-5631,F,7,#6]" advise="1">
        <values>
          <value t="nil">
            <val>1</val>
          </value>
        </values>
      </ddeItem>
      <ddeItem name="@CTA[8-2-7-5-6-5631,F,8,#6]" advise="1">
        <values>
          <value t="nil">
            <val>1</val>
          </value>
        </values>
      </ddeItem>
      <ddeItem name="@CTA[8-2-7-5-6-5631,F,9,#6]" advise="1">
        <values>
          <value t="nil">
            <val>1</val>
          </value>
        </values>
      </ddeItem>
      <ddeItem name="@CTA[8-2-7-5-6-5632,F,1,#6]" advise="1">
        <values>
          <value>
            <val>0</val>
          </value>
        </values>
      </ddeItem>
      <ddeItem name="@CTA[8-2-7-5-6-5632,F,9,#6]" advise="1">
        <values>
          <value>
            <val>0</val>
          </value>
        </values>
      </ddeItem>
      <ddeItem name="@CTA[8-2-7-5-6-5651,F,1,#6]" advise="1">
        <values>
          <value>
            <val>0</val>
          </value>
        </values>
      </ddeItem>
      <ddeItem name="@CTA[8-2-7-5-6-5651,F,2,#6]" advise="1">
        <values>
          <value t="nil">
            <val>1</val>
          </value>
        </values>
      </ddeItem>
      <ddeItem name="@CTA[8-2-7-5-6-5651,F,3,#6]" advise="1">
        <values>
          <value t="nil">
            <val>1</val>
          </value>
        </values>
      </ddeItem>
      <ddeItem name="@CTA[8-2-7-5-6-5651,F,4,#6]" advise="1">
        <values>
          <value t="nil">
            <val>1</val>
          </value>
        </values>
      </ddeItem>
      <ddeItem name="@CTA[8-2-7-5-6-5651,F,5,#6]" advise="1">
        <values>
          <value t="nil">
            <val>1</val>
          </value>
        </values>
      </ddeItem>
      <ddeItem name="@CTA[8-2-7-5-6-5651,F,6,#6]" advise="1">
        <values>
          <value t="nil">
            <val>1</val>
          </value>
        </values>
      </ddeItem>
      <ddeItem name="@CTA[8-2-7-5-6-5651,F,7,#6]" advise="1">
        <values>
          <value>
            <val>0</val>
          </value>
        </values>
      </ddeItem>
      <ddeItem name="@CTA[8-2-7-5-6-5651,F,8,#6]" advise="1">
        <values>
          <value t="nil">
            <val>1</val>
          </value>
        </values>
      </ddeItem>
      <ddeItem name="@CTA[8-2-7-5-6-5651,F,9,#6]" advise="1">
        <values>
          <value t="nil">
            <val>1</val>
          </value>
        </values>
      </ddeItem>
      <ddeItem name="@CTA[8-2-7-5-6-5653,F,8,#6]" advise="1">
        <values>
          <value>
            <val>0</val>
          </value>
        </values>
      </ddeItem>
      <ddeItem name="@CTA[8-2-7-5-6-5671,F,1,#6]" advise="1">
        <values>
          <value>
            <val>0</val>
          </value>
        </values>
      </ddeItem>
      <ddeItem name="@CTA[8-2-7-5-6-5671,F,2,#6]" advise="1">
        <values>
          <value t="nil">
            <val>1</val>
          </value>
        </values>
      </ddeItem>
      <ddeItem name="@CTA[8-2-7-5-6-5671,F,3,#6]" advise="1">
        <values>
          <value>
            <val>0</val>
          </value>
        </values>
      </ddeItem>
      <ddeItem name="@CTA[8-2-7-5-6-5671,F,4,#6]" advise="1">
        <values>
          <value t="nil">
            <val>1</val>
          </value>
        </values>
      </ddeItem>
      <ddeItem name="@CTA[8-2-7-5-6-5671,F,5,#6]" advise="1">
        <values>
          <value t="nil">
            <val>1</val>
          </value>
        </values>
      </ddeItem>
      <ddeItem name="@CTA[8-2-7-5-6-5671,F,6,#6]" advise="1">
        <values>
          <value t="nil">
            <val>1</val>
          </value>
        </values>
      </ddeItem>
      <ddeItem name="@CTA[8-2-7-5-6-5671,F,7,#6]" advise="1">
        <values>
          <value>
            <val>0</val>
          </value>
        </values>
      </ddeItem>
      <ddeItem name="@CTA[8-2-7-5-6-5671,F,8,#6]" advise="1">
        <values>
          <value t="nil">
            <val>1</val>
          </value>
        </values>
      </ddeItem>
      <ddeItem name="@CTA[8-2-7-5-6-5671,F,9,#6]" advise="1">
        <values>
          <value t="nil">
            <val>1</val>
          </value>
        </values>
      </ddeItem>
      <ddeItem name="@CTA[8-2-7-5-6-5693,F,1,#6]" advise="1">
        <values>
          <value>
            <val>0</val>
          </value>
        </values>
      </ddeItem>
      <ddeItem name="@CTA[8-2-7-5-6-5694,F,3,#6]" advise="1">
        <values>
          <value>
            <val>0</val>
          </value>
        </values>
      </ddeItem>
      <ddeItem name="@CTA[8-2-7-5-7,F,#5]" advise="1">
        <values>
          <value t="nil">
            <val>1</val>
          </value>
        </values>
      </ddeItem>
      <ddeItem name="@CTA[8-2-7-5-8,F,#5]" advise="1">
        <values>
          <value>
            <val>0</val>
          </value>
        </values>
      </ddeItem>
      <ddeItem name="@CTA[8-2-7-5-9,F,#5]" advise="1">
        <values>
          <value>
            <val>7.2759576141834259E-12</val>
          </value>
        </values>
      </ddeItem>
      <ddeItem name="@CTA[8-2-7-5-9-5911,F,1,#6]" advise="1">
        <values>
          <value t="nil">
            <val>1</val>
          </value>
        </values>
      </ddeItem>
      <ddeItem name="@CTA[8-2-7-5-9-5911,F,2,#6]" advise="1">
        <values>
          <value t="nil">
            <val>1</val>
          </value>
        </values>
      </ddeItem>
      <ddeItem name="@CTA[8-2-7-5-9-5911,F,3,#6]" advise="1">
        <values>
          <value t="nil">
            <val>1</val>
          </value>
        </values>
      </ddeItem>
      <ddeItem name="@CTA[8-2-7-5-9-5911,F,4,#6]" advise="1">
        <values>
          <value t="nil">
            <val>1</val>
          </value>
        </values>
      </ddeItem>
      <ddeItem name="@CTA[8-2-7-5-9-5911,F,5,#6]" advise="1">
        <values>
          <value t="nil">
            <val>1</val>
          </value>
        </values>
      </ddeItem>
      <ddeItem name="@CTA[8-2-7-5-9-5911,F,6,#6]" advise="1">
        <values>
          <value>
            <val>7.2759576141834259E-12</val>
          </value>
        </values>
      </ddeItem>
      <ddeItem name="@CTA[8-2-7-5-9-5911,F,7,#6]" advise="1">
        <values>
          <value t="nil">
            <val>1</val>
          </value>
        </values>
      </ddeItem>
      <ddeItem name="@CTA[8-2-7-5-9-5911,F,8,#6]" advise="1">
        <values>
          <value t="nil">
            <val>1</val>
          </value>
        </values>
      </ddeItem>
      <ddeItem name="@CTA[8-2-7-5-9-5911,F,9,#6]" advise="1">
        <values>
          <value>
            <val>0</val>
          </value>
        </values>
      </ddeItem>
      <ddeItem name="@CTA[8-2-7-5-9-5951,F,2,#6]" advise="1">
        <values>
          <value t="nil">
            <val>1</val>
          </value>
        </values>
      </ddeItem>
      <ddeItem name="@CTA[8-2-7-6,F,#4]" advise="1">
        <values>
          <value>
            <val>2474305.5999999996</val>
          </value>
        </values>
      </ddeItem>
      <ddeItem name="@CTA[8-2-7-6-1,F,#5]" advise="1">
        <values>
          <value>
            <val>2474305.5999999996</val>
          </value>
        </values>
      </ddeItem>
      <ddeItem name="@CTA[8-2-7-6-1-6131,F,1,#6]" advise="1">
        <values>
          <value>
            <val>2.1827872842550278E-11</val>
          </value>
        </values>
      </ddeItem>
      <ddeItem name="@CTA[8-2-7-6-1-6131,F,2,#6]" advise="1">
        <values>
          <value t="nil">
            <val>1</val>
          </value>
        </values>
      </ddeItem>
      <ddeItem name="@CTA[8-2-7-6-1-6131,F,3,#6]" advise="1">
        <values>
          <value t="nil">
            <val>1</val>
          </value>
        </values>
      </ddeItem>
      <ddeItem name="@CTA[8-2-7-6-1-6131,F,4,#6]" advise="1">
        <values>
          <value t="nil">
            <val>1</val>
          </value>
        </values>
      </ddeItem>
      <ddeItem name="@CTA[8-2-7-6-1-6131,F,5,#6]" advise="1">
        <values>
          <value t="nil">
            <val>1</val>
          </value>
        </values>
      </ddeItem>
      <ddeItem name="@CTA[8-2-7-6-1-6131,F,6,#6]" advise="1">
        <values>
          <value t="nil">
            <val>1</val>
          </value>
        </values>
      </ddeItem>
      <ddeItem name="@CTA[8-2-7-6-1-6131,F,7,#6]" advise="1">
        <values>
          <value t="nil">
            <val>1</val>
          </value>
        </values>
      </ddeItem>
      <ddeItem name="@CTA[8-2-7-6-1-6131,F,8,#6]" advise="1">
        <values>
          <value t="nil">
            <val>1</val>
          </value>
        </values>
      </ddeItem>
      <ddeItem name="@CTA[8-2-7-6-1-6131,F,9,#6]" advise="1">
        <values>
          <value>
            <val>-1.1641532182693481E-10</val>
          </value>
        </values>
      </ddeItem>
      <ddeItem name="@CTA[8-2-7-6-1-6161,F,1,#6]" advise="1">
        <values>
          <value>
            <val>0</val>
          </value>
        </values>
      </ddeItem>
      <ddeItem name="@CTA[8-2-7-6-1-6161,F,2,#6]" advise="1">
        <values>
          <value t="nil">
            <val>1</val>
          </value>
        </values>
      </ddeItem>
      <ddeItem name="@CTA[8-2-7-6-1-6161,F,3,#6]" advise="1">
        <values>
          <value t="nil">
            <val>1</val>
          </value>
        </values>
      </ddeItem>
      <ddeItem name="@CTA[8-2-7-6-1-6161,F,4,#6]" advise="1">
        <values>
          <value t="nil">
            <val>1</val>
          </value>
        </values>
      </ddeItem>
      <ddeItem name="@CTA[8-2-7-6-1-6161,F,5,#6]" advise="1">
        <values>
          <value t="nil">
            <val>1</val>
          </value>
        </values>
      </ddeItem>
      <ddeItem name="@CTA[8-2-7-6-1-6161,F,6,#6]" advise="1">
        <values>
          <value t="nil">
            <val>1</val>
          </value>
        </values>
      </ddeItem>
      <ddeItem name="@CTA[8-2-7-6-1-6161,F,7,#6]" advise="1">
        <values>
          <value t="nil">
            <val>1</val>
          </value>
        </values>
      </ddeItem>
      <ddeItem name="@CTA[8-2-7-6-1-6161,F,8,#6]" advise="1">
        <values>
          <value t="nil">
            <val>1</val>
          </value>
        </values>
      </ddeItem>
      <ddeItem name="@CTA[8-2-7-6-1-6161,F,9,#6]" advise="1">
        <values>
          <value>
            <val>0</val>
          </value>
        </values>
      </ddeItem>
      <ddeItem name="@CTA[8-2-7-6-1-6162,F,1,#6]" advise="1">
        <values>
          <value>
            <val>-6.9849193096160889E-10</val>
          </value>
        </values>
      </ddeItem>
      <ddeItem name="@CTA[8-2-7-6-1-6162,F,2,#6]" advise="1">
        <values>
          <value t="nil">
            <val>1</val>
          </value>
        </values>
      </ddeItem>
      <ddeItem name="@CTA[8-2-7-6-1-6162,F,3,#6]" advise="1">
        <values>
          <value t="nil">
            <val>1</val>
          </value>
        </values>
      </ddeItem>
      <ddeItem name="@CTA[8-2-7-6-1-6162,F,4,#6]" advise="1">
        <values>
          <value t="nil">
            <val>1</val>
          </value>
        </values>
      </ddeItem>
      <ddeItem name="@CTA[8-2-7-6-1-6162,F,5,#6]" advise="1">
        <values>
          <value t="nil">
            <val>1</val>
          </value>
        </values>
      </ddeItem>
      <ddeItem name="@CTA[8-2-7-6-1-6162,F,6,#6]" advise="1">
        <values>
          <value t="nil">
            <val>1</val>
          </value>
        </values>
      </ddeItem>
      <ddeItem name="@CTA[8-2-7-6-1-6162,F,7,#6]" advise="1">
        <values>
          <value t="nil">
            <val>1</val>
          </value>
        </values>
      </ddeItem>
      <ddeItem name="@CTA[8-2-7-6-1-6162,F,8,#6]" advise="1">
        <values>
          <value t="nil">
            <val>1</val>
          </value>
        </values>
      </ddeItem>
      <ddeItem name="@CTA[8-2-7-6-1-6162,F,9,#6]" advise="1">
        <values>
          <value>
            <val>1776253.74</val>
          </value>
        </values>
      </ddeItem>
      <ddeItem name="@CTA[8-2-7-6-1-6171,F,1,#6]" advise="1">
        <values>
          <value>
            <val>-4.6566128730773926E-10</val>
          </value>
        </values>
      </ddeItem>
      <ddeItem name="@CTA[8-2-7-6-1-6171,F,2,#6]" advise="1">
        <values>
          <value t="nil">
            <val>1</val>
          </value>
        </values>
      </ddeItem>
      <ddeItem name="@CTA[8-2-7-6-1-6171,F,3,#6]" advise="1">
        <values>
          <value t="nil">
            <val>1</val>
          </value>
        </values>
      </ddeItem>
      <ddeItem name="@CTA[8-2-7-6-1-6171,F,4,#6]" advise="1">
        <values>
          <value t="nil">
            <val>1</val>
          </value>
        </values>
      </ddeItem>
      <ddeItem name="@CTA[8-2-7-6-1-6171,F,5,#6]" advise="1">
        <values>
          <value t="nil">
            <val>1</val>
          </value>
        </values>
      </ddeItem>
      <ddeItem name="@CTA[8-2-7-6-1-6171,F,6,#6]" advise="1">
        <values>
          <value t="nil">
            <val>1</val>
          </value>
        </values>
      </ddeItem>
      <ddeItem name="@CTA[8-2-7-6-1-6171,F,7,#6]" advise="1">
        <values>
          <value t="nil">
            <val>1</val>
          </value>
        </values>
      </ddeItem>
      <ddeItem name="@CTA[8-2-7-6-1-6171,F,8,#6]" advise="1">
        <values>
          <value t="nil">
            <val>1</val>
          </value>
        </values>
      </ddeItem>
      <ddeItem name="@CTA[8-2-7-6-1-6171,F,9,#6]" advise="1">
        <values>
          <value>
            <val>698051.86</val>
          </value>
        </values>
      </ddeItem>
      <ddeItem name="@CTA[8-2-7-6-2,F,#5]" advise="1">
        <values>
          <value t="nil">
            <val>1</val>
          </value>
        </values>
      </ddeItem>
      <ddeItem name="@CTA[8-2-7-6-2-6221,F,1,#6]" advise="1">
        <values>
          <value t="nil">
            <val>1</val>
          </value>
        </values>
      </ddeItem>
      <ddeItem name="@CTA[8-2-7-6-3,F,#5]" advise="1">
        <values>
          <value t="nil">
            <val>1</val>
          </value>
        </values>
      </ddeItem>
      <ddeItem name="@CTA[8-2-7-7,F,#4]" advise="1">
        <values>
          <value t="nil">
            <val>1</val>
          </value>
        </values>
      </ddeItem>
      <ddeItem name="@CTA[8-2-7-7-1,F,#5]" advise="1">
        <values>
          <value t="nil">
            <val>1</val>
          </value>
        </values>
      </ddeItem>
      <ddeItem name="@CTA[8-2-7-7-2,F,#5]" advise="1">
        <values>
          <value t="nil">
            <val>1</val>
          </value>
        </values>
      </ddeItem>
      <ddeItem name="@CTA[8-2-7-7-3,F,#5]" advise="1">
        <values>
          <value t="nil">
            <val>1</val>
          </value>
        </values>
      </ddeItem>
      <ddeItem name="@CTA[8-2-7-7-4,F,#5]" advise="1">
        <values>
          <value t="nil">
            <val>1</val>
          </value>
        </values>
      </ddeItem>
      <ddeItem name="@CTA[8-2-7-7-5,F,#5]" advise="1">
        <values>
          <value t="nil">
            <val>1</val>
          </value>
        </values>
      </ddeItem>
      <ddeItem name="@CTA[8-2-7-7-6,F,#5]" advise="1">
        <values>
          <value t="nil">
            <val>1</val>
          </value>
        </values>
      </ddeItem>
      <ddeItem name="@CTA[8-2-7-7-9,F,#5]" advise="1">
        <values>
          <value t="nil">
            <val>1</val>
          </value>
        </values>
      </ddeItem>
      <ddeItem name="@CTA[8-2-7-8,F,#4]" advise="1">
        <values>
          <value t="nil">
            <val>1</val>
          </value>
        </values>
      </ddeItem>
      <ddeItem name="@CTA[8-2-7-8-1,F,#5]" advise="1">
        <values>
          <value t="nil">
            <val>1</val>
          </value>
        </values>
      </ddeItem>
      <ddeItem name="@CTA[8-2-7-8-3,F,#5]" advise="1">
        <values>
          <value t="nil">
            <val>1</val>
          </value>
        </values>
      </ddeItem>
      <ddeItem name="@CTA[8-2-7-8-5,F,#5]" advise="1">
        <values>
          <value t="nil">
            <val>1</val>
          </value>
        </values>
      </ddeItem>
      <ddeItem name="@CTA[8-2-7-9,F,#4]" advise="1">
        <values>
          <value t="nil">
            <val>1</val>
          </value>
        </values>
      </ddeItem>
      <ddeItem name="@CTA[8-2-7-9-1,F,#5]" advise="1">
        <values>
          <value t="nil">
            <val>1</val>
          </value>
        </values>
      </ddeItem>
      <ddeItem name="@CTA[8-2-7-9-2,F,#5]" advise="1">
        <values>
          <value t="nil">
            <val>1</val>
          </value>
        </values>
      </ddeItem>
      <ddeItem name="@CTA[8-2-7-9-3,F,#5]" advise="1">
        <values>
          <value t="nil">
            <val>1</val>
          </value>
        </values>
      </ddeItem>
      <ddeItem name="@CTA[8-2-7-9-4,F,#5]" advise="1">
        <values>
          <value t="nil">
            <val>1</val>
          </value>
        </values>
      </ddeItem>
      <ddeItem name="@CTA[8-2-7-9-5,F,#5]" advise="1">
        <values>
          <value t="nil">
            <val>1</val>
          </value>
        </values>
      </ddeItem>
      <ddeItem name="@CTA[8-2-7-9-6,F,#5]" advise="1">
        <values>
          <value t="nil">
            <val>1</val>
          </value>
        </values>
      </ddeItem>
      <ddeItem name="@CTA[8-2-7-9-9,F,#5]" advise="1">
        <values>
          <value t="nil">
            <val>1</val>
          </value>
        </values>
      </ddeItem>
      <ddeItem name="StdDocumentName" ole="1" advise="1"/>
    </ddeItems>
  </dd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/>
  </sheetViews>
  <sheetFormatPr baseColWidth="10" defaultRowHeight="11.25" x14ac:dyDescent="0.2"/>
  <sheetData>
    <row r="1" spans="1:2" x14ac:dyDescent="0.2">
      <c r="A1" s="1"/>
      <c r="B1" s="1"/>
    </row>
    <row r="2020" spans="1:1" x14ac:dyDescent="0.2">
      <c r="A2020" s="48" t="s">
        <v>144</v>
      </c>
    </row>
  </sheetData>
  <sheetProtection algorithmName="SHA-512" hashValue="kzpaxSdUDqyrShLr9emYpTrl0T7Daocyb7CDqfVuJ6YRP1+Ncf9wci8r/az36JCIwVz4bAhjVXx7MRh0Z6Jclw==" saltValue="sELqCoFnNPJPHixI0xXae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23"/>
  <sheetViews>
    <sheetView showGridLines="0" topLeftCell="A91" workbookViewId="0">
      <selection activeCell="E125" sqref="E125"/>
    </sheetView>
  </sheetViews>
  <sheetFormatPr baseColWidth="10" defaultRowHeight="11.25" x14ac:dyDescent="0.2"/>
  <cols>
    <col min="2" max="2" width="72.33203125" bestFit="1" customWidth="1"/>
    <col min="3" max="3" width="12.6640625" bestFit="1" customWidth="1"/>
    <col min="4" max="4" width="17.6640625" customWidth="1"/>
    <col min="5" max="5" width="12.6640625" bestFit="1" customWidth="1"/>
  </cols>
  <sheetData>
    <row r="2" spans="1:6" x14ac:dyDescent="0.2">
      <c r="A2" s="136" t="s">
        <v>3</v>
      </c>
      <c r="B2" s="137" t="s">
        <v>4</v>
      </c>
      <c r="C2" s="138" t="s">
        <v>5</v>
      </c>
      <c r="D2" s="138" t="s">
        <v>6</v>
      </c>
      <c r="E2" s="138" t="s">
        <v>8</v>
      </c>
    </row>
    <row r="3" spans="1:6" ht="12" x14ac:dyDescent="0.2">
      <c r="A3" s="63">
        <v>1000</v>
      </c>
      <c r="B3" s="68" t="s">
        <v>151</v>
      </c>
      <c r="C3" s="139">
        <f>SUMIF(EAEPE!$F$5:$F$1051,Hoja2!$A3,EAEPE!$H$5:$H$1051)</f>
        <v>17584398</v>
      </c>
      <c r="D3" s="139">
        <f>SUMIF(EAEPE!$F$5:$F$1051,Hoja2!$A3,EAEPE!$J$5:$J$1051)</f>
        <v>18161538.600000001</v>
      </c>
      <c r="E3" s="139">
        <f>SUMIF(EAEPE!$F$5:$F$1051,Hoja2!$A3,EAEPE!$L$5:$L$1051)</f>
        <v>3914998.81</v>
      </c>
      <c r="F3" s="140"/>
    </row>
    <row r="4" spans="1:6" ht="12" x14ac:dyDescent="0.2">
      <c r="A4" s="72">
        <v>1131</v>
      </c>
      <c r="B4" s="73" t="s">
        <v>154</v>
      </c>
      <c r="C4" s="141">
        <f>SUMIF(EAEPE!$F$5:$F$1051,Hoja2!A4,EAEPE!$H$5:$H$1051)</f>
        <v>9706928</v>
      </c>
      <c r="D4" s="141">
        <f>SUMIF(EAEPE!$F$5:$F$1051,Hoja2!$A4,EAEPE!$J$5:$J$1051)</f>
        <v>9706928</v>
      </c>
      <c r="E4" s="141">
        <f>SUMIF(EAEPE!$F$5:$F$1051,Hoja2!$A4,EAEPE!$L$5:$L$1051)</f>
        <v>2209962.7200000002</v>
      </c>
      <c r="F4" s="140"/>
    </row>
    <row r="5" spans="1:6" ht="12" x14ac:dyDescent="0.2">
      <c r="A5" s="72">
        <v>1211</v>
      </c>
      <c r="B5" s="73" t="s">
        <v>155</v>
      </c>
      <c r="C5" s="141">
        <f>SUMIF(EAEPE!$F$5:$F$1051,Hoja2!A5,EAEPE!$H$5:$H$1051)</f>
        <v>589160</v>
      </c>
      <c r="D5" s="141">
        <f>SUMIF(EAEPE!$F$5:$F$1051,Hoja2!$A5,EAEPE!$J$5:$J$1051)</f>
        <v>589160</v>
      </c>
      <c r="E5" s="141">
        <f>SUMIF(EAEPE!$F$5:$F$1051,Hoja2!$A5,EAEPE!$L$5:$L$1051)</f>
        <v>131985.1</v>
      </c>
      <c r="F5" s="140"/>
    </row>
    <row r="6" spans="1:6" ht="12" x14ac:dyDescent="0.2">
      <c r="A6" s="72">
        <v>1221</v>
      </c>
      <c r="B6" s="73" t="s">
        <v>156</v>
      </c>
      <c r="C6" s="141">
        <f>SUMIF(EAEPE!$F$5:$F$1051,Hoja2!A6,EAEPE!$H$5:$H$1051)</f>
        <v>171458</v>
      </c>
      <c r="D6" s="141">
        <f>SUMIF(EAEPE!$F$5:$F$1051,Hoja2!$A6,EAEPE!$J$5:$J$1051)</f>
        <v>171458</v>
      </c>
      <c r="E6" s="141">
        <f>SUMIF(EAEPE!$F$5:$F$1051,Hoja2!$A6,EAEPE!$L$5:$L$1051)</f>
        <v>0</v>
      </c>
      <c r="F6" s="140"/>
    </row>
    <row r="7" spans="1:6" ht="12" x14ac:dyDescent="0.2">
      <c r="A7" s="72">
        <v>1311</v>
      </c>
      <c r="B7" s="73" t="s">
        <v>157</v>
      </c>
      <c r="C7" s="141">
        <f>SUMIF(EAEPE!$F$5:$F$1051,Hoja2!A7,EAEPE!$H$5:$H$1051)</f>
        <v>0</v>
      </c>
      <c r="D7" s="141">
        <f>SUMIF(EAEPE!$F$5:$F$1051,Hoja2!$A7,EAEPE!$J$5:$J$1051)</f>
        <v>165858.89000000001</v>
      </c>
      <c r="E7" s="141">
        <f>SUMIF(EAEPE!$F$5:$F$1051,Hoja2!$A7,EAEPE!$L$5:$L$1051)</f>
        <v>294368.14</v>
      </c>
      <c r="F7" s="140"/>
    </row>
    <row r="8" spans="1:6" ht="12" x14ac:dyDescent="0.2">
      <c r="A8" s="72">
        <v>1321</v>
      </c>
      <c r="B8" s="73" t="s">
        <v>158</v>
      </c>
      <c r="C8" s="141">
        <f>SUMIF(EAEPE!$F$5:$F$1051,Hoja2!A8,EAEPE!$H$5:$H$1051)</f>
        <v>124619</v>
      </c>
      <c r="D8" s="141">
        <f>SUMIF(EAEPE!$F$5:$F$1051,Hoja2!$A8,EAEPE!$J$5:$J$1051)</f>
        <v>124619</v>
      </c>
      <c r="E8" s="141">
        <f>SUMIF(EAEPE!$F$5:$F$1051,Hoja2!$A8,EAEPE!$L$5:$L$1051)</f>
        <v>31390.530000000002</v>
      </c>
      <c r="F8" s="140"/>
    </row>
    <row r="9" spans="1:6" ht="12" x14ac:dyDescent="0.2">
      <c r="A9" s="72">
        <v>1322</v>
      </c>
      <c r="B9" s="73" t="s">
        <v>159</v>
      </c>
      <c r="C9" s="141">
        <f>SUMIF(EAEPE!$F$5:$F$1051,Hoja2!A9,EAEPE!$H$5:$H$1051)</f>
        <v>309489</v>
      </c>
      <c r="D9" s="141">
        <f>SUMIF(EAEPE!$F$5:$F$1051,Hoja2!$A9,EAEPE!$J$5:$J$1051)</f>
        <v>309489</v>
      </c>
      <c r="E9" s="141">
        <f>SUMIF(EAEPE!$F$5:$F$1051,Hoja2!$A9,EAEPE!$L$5:$L$1051)</f>
        <v>52199.360000000001</v>
      </c>
      <c r="F9" s="140"/>
    </row>
    <row r="10" spans="1:6" ht="12" x14ac:dyDescent="0.2">
      <c r="A10" s="72">
        <v>1323</v>
      </c>
      <c r="B10" s="73" t="s">
        <v>160</v>
      </c>
      <c r="C10" s="141">
        <f>SUMIF(EAEPE!$F$5:$F$1051,Hoja2!A10,EAEPE!$H$5:$H$1051)</f>
        <v>1123889</v>
      </c>
      <c r="D10" s="141">
        <f>SUMIF(EAEPE!$F$5:$F$1051,Hoja2!$A10,EAEPE!$J$5:$J$1051)</f>
        <v>1123889</v>
      </c>
      <c r="E10" s="141">
        <f>SUMIF(EAEPE!$F$5:$F$1051,Hoja2!$A10,EAEPE!$L$5:$L$1051)</f>
        <v>3033.5600000000004</v>
      </c>
      <c r="F10" s="140"/>
    </row>
    <row r="11" spans="1:6" ht="12" x14ac:dyDescent="0.2">
      <c r="A11" s="72">
        <v>1331</v>
      </c>
      <c r="B11" s="73" t="s">
        <v>161</v>
      </c>
      <c r="C11" s="141">
        <f>SUMIF(EAEPE!$F$5:$F$1051,Hoja2!A11,EAEPE!$H$5:$H$1051)</f>
        <v>130347</v>
      </c>
      <c r="D11" s="141">
        <f>SUMIF(EAEPE!$F$5:$F$1051,Hoja2!$A11,EAEPE!$J$5:$J$1051)</f>
        <v>130347</v>
      </c>
      <c r="E11" s="141">
        <f>SUMIF(EAEPE!$F$5:$F$1051,Hoja2!$A11,EAEPE!$L$5:$L$1051)</f>
        <v>18861.32</v>
      </c>
      <c r="F11" s="140"/>
    </row>
    <row r="12" spans="1:6" ht="12" x14ac:dyDescent="0.2">
      <c r="A12" s="72">
        <v>1341</v>
      </c>
      <c r="B12" s="73" t="s">
        <v>162</v>
      </c>
      <c r="C12" s="141">
        <f>SUMIF(EAEPE!$F$5:$F$1051,Hoja2!A12,EAEPE!$H$5:$H$1051)</f>
        <v>315947</v>
      </c>
      <c r="D12" s="141">
        <f>SUMIF(EAEPE!$F$5:$F$1051,Hoja2!$A12,EAEPE!$J$5:$J$1051)</f>
        <v>315947</v>
      </c>
      <c r="E12" s="141">
        <f>SUMIF(EAEPE!$F$5:$F$1051,Hoja2!$A12,EAEPE!$L$5:$L$1051)</f>
        <v>19285.75</v>
      </c>
      <c r="F12" s="140"/>
    </row>
    <row r="13" spans="1:6" ht="12" x14ac:dyDescent="0.2">
      <c r="A13" s="72">
        <v>1411</v>
      </c>
      <c r="B13" s="73" t="s">
        <v>165</v>
      </c>
      <c r="C13" s="141">
        <f>SUMIF(EAEPE!$F$5:$F$1051,Hoja2!A13,EAEPE!$H$5:$H$1051)</f>
        <v>1250158</v>
      </c>
      <c r="D13" s="141">
        <f>SUMIF(EAEPE!$F$5:$F$1051,Hoja2!$A13,EAEPE!$J$5:$J$1051)</f>
        <v>1345419.58</v>
      </c>
      <c r="E13" s="141">
        <f>SUMIF(EAEPE!$F$5:$F$1051,Hoja2!$A13,EAEPE!$L$5:$L$1051)</f>
        <v>297852.83999999997</v>
      </c>
      <c r="F13" s="140"/>
    </row>
    <row r="14" spans="1:6" ht="12" x14ac:dyDescent="0.2">
      <c r="A14" s="72">
        <v>1421</v>
      </c>
      <c r="B14" s="73" t="s">
        <v>166</v>
      </c>
      <c r="C14" s="141">
        <f>SUMIF(EAEPE!$F$5:$F$1051,Hoja2!A14,EAEPE!$H$5:$H$1051)</f>
        <v>574410</v>
      </c>
      <c r="D14" s="141">
        <f>SUMIF(EAEPE!$F$5:$F$1051,Hoja2!$A14,EAEPE!$J$5:$J$1051)</f>
        <v>664230.94000000006</v>
      </c>
      <c r="E14" s="141">
        <f>SUMIF(EAEPE!$F$5:$F$1051,Hoja2!$A14,EAEPE!$L$5:$L$1051)</f>
        <v>99040.849999999991</v>
      </c>
      <c r="F14" s="140"/>
    </row>
    <row r="15" spans="1:6" ht="12" x14ac:dyDescent="0.2">
      <c r="A15" s="72">
        <v>1431</v>
      </c>
      <c r="B15" s="73" t="s">
        <v>167</v>
      </c>
      <c r="C15" s="141">
        <f>SUMIF(EAEPE!$F$5:$F$1051,Hoja2!A15,EAEPE!$H$5:$H$1051)</f>
        <v>591641</v>
      </c>
      <c r="D15" s="141">
        <f>SUMIF(EAEPE!$F$5:$F$1051,Hoja2!$A15,EAEPE!$J$5:$J$1051)</f>
        <v>683699.08</v>
      </c>
      <c r="E15" s="141">
        <f>SUMIF(EAEPE!$F$5:$F$1051,Hoja2!$A15,EAEPE!$L$5:$L$1051)</f>
        <v>101635.48000000001</v>
      </c>
      <c r="F15" s="140"/>
    </row>
    <row r="16" spans="1:6" ht="12" x14ac:dyDescent="0.2">
      <c r="A16" s="72">
        <v>1441</v>
      </c>
      <c r="B16" s="73" t="s">
        <v>168</v>
      </c>
      <c r="C16" s="141">
        <f>SUMIF(EAEPE!$F$5:$F$1051,Hoja2!A16,EAEPE!$H$5:$H$1051)</f>
        <v>53500</v>
      </c>
      <c r="D16" s="141">
        <f>SUMIF(EAEPE!$F$5:$F$1051,Hoja2!$A16,EAEPE!$J$5:$J$1051)</f>
        <v>53500</v>
      </c>
      <c r="E16" s="141">
        <f>SUMIF(EAEPE!$F$5:$F$1051,Hoja2!$A16,EAEPE!$L$5:$L$1051)</f>
        <v>11699.77</v>
      </c>
      <c r="F16" s="140"/>
    </row>
    <row r="17" spans="1:6" ht="12" x14ac:dyDescent="0.2">
      <c r="A17" s="72">
        <v>1521</v>
      </c>
      <c r="B17" s="73" t="s">
        <v>170</v>
      </c>
      <c r="C17" s="141">
        <f>SUMIF(EAEPE!$F$5:$F$1051,Hoja2!A17,EAEPE!$H$5:$H$1051)</f>
        <v>0</v>
      </c>
      <c r="D17" s="141">
        <f>SUMIF(EAEPE!$F$5:$F$1051,Hoja2!$A17,EAEPE!$J$5:$J$1051)</f>
        <v>0</v>
      </c>
      <c r="E17" s="141">
        <f>SUMIF(EAEPE!$F$5:$F$1051,Hoja2!$A17,EAEPE!$L$5:$L$1051)</f>
        <v>0</v>
      </c>
      <c r="F17" s="140"/>
    </row>
    <row r="18" spans="1:6" ht="12" x14ac:dyDescent="0.2">
      <c r="A18" s="72">
        <v>1522</v>
      </c>
      <c r="B18" s="73" t="s">
        <v>171</v>
      </c>
      <c r="C18" s="141">
        <f>SUMIF(EAEPE!$F$5:$F$1051,Hoja2!A18,EAEPE!$H$5:$H$1051)</f>
        <v>0</v>
      </c>
      <c r="D18" s="141">
        <f>SUMIF(EAEPE!$F$5:$F$1051,Hoja2!$A18,EAEPE!$J$5:$J$1051)</f>
        <v>134141.10999999999</v>
      </c>
      <c r="E18" s="141">
        <f>SUMIF(EAEPE!$F$5:$F$1051,Hoja2!$A18,EAEPE!$L$5:$L$1051)</f>
        <v>0</v>
      </c>
      <c r="F18" s="140"/>
    </row>
    <row r="19" spans="1:6" ht="12" x14ac:dyDescent="0.2">
      <c r="A19" s="72">
        <v>1541</v>
      </c>
      <c r="B19" s="73" t="s">
        <v>172</v>
      </c>
      <c r="C19" s="141">
        <f>SUMIF(EAEPE!$F$5:$F$1051,Hoja2!A19,EAEPE!$H$5:$H$1051)</f>
        <v>1917790</v>
      </c>
      <c r="D19" s="141">
        <f>SUMIF(EAEPE!$F$5:$F$1051,Hoja2!$A19,EAEPE!$J$5:$J$1051)</f>
        <v>1917790</v>
      </c>
      <c r="E19" s="141">
        <f>SUMIF(EAEPE!$F$5:$F$1051,Hoja2!$A19,EAEPE!$L$5:$L$1051)</f>
        <v>474124.59</v>
      </c>
      <c r="F19" s="140"/>
    </row>
    <row r="20" spans="1:6" ht="12" x14ac:dyDescent="0.2">
      <c r="A20" s="72">
        <v>1542</v>
      </c>
      <c r="B20" s="73" t="s">
        <v>173</v>
      </c>
      <c r="C20" s="141">
        <f>SUMIF(EAEPE!$F$5:$F$1051,Hoja2!A20,EAEPE!$H$5:$H$1051)</f>
        <v>635502</v>
      </c>
      <c r="D20" s="141">
        <f>SUMIF(EAEPE!$F$5:$F$1051,Hoja2!$A20,EAEPE!$J$5:$J$1051)</f>
        <v>635502</v>
      </c>
      <c r="E20" s="141">
        <f>SUMIF(EAEPE!$F$5:$F$1051,Hoja2!$A20,EAEPE!$L$5:$L$1051)</f>
        <v>156958.79999999999</v>
      </c>
      <c r="F20" s="140"/>
    </row>
    <row r="21" spans="1:6" ht="12" x14ac:dyDescent="0.2">
      <c r="A21" s="72">
        <v>1543</v>
      </c>
      <c r="B21" s="73" t="s">
        <v>174</v>
      </c>
      <c r="C21" s="141">
        <f>SUMIF(EAEPE!$F$5:$F$1051,Hoja2!A21,EAEPE!$H$5:$H$1051)</f>
        <v>28360</v>
      </c>
      <c r="D21" s="141">
        <f>SUMIF(EAEPE!$F$5:$F$1051,Hoja2!$A21,EAEPE!$J$5:$J$1051)</f>
        <v>28360</v>
      </c>
      <c r="E21" s="141">
        <f>SUMIF(EAEPE!$F$5:$F$1051,Hoja2!$A21,EAEPE!$L$5:$L$1051)</f>
        <v>0</v>
      </c>
      <c r="F21" s="140"/>
    </row>
    <row r="22" spans="1:6" ht="12" x14ac:dyDescent="0.2">
      <c r="A22" s="72">
        <v>1544</v>
      </c>
      <c r="B22" s="73" t="s">
        <v>175</v>
      </c>
      <c r="C22" s="141">
        <f>SUMIF(EAEPE!$F$5:$F$1051,Hoja2!A22,EAEPE!$H$5:$H$1051)</f>
        <v>61200</v>
      </c>
      <c r="D22" s="141">
        <f>SUMIF(EAEPE!$F$5:$F$1051,Hoja2!$A22,EAEPE!$J$5:$J$1051)</f>
        <v>61200</v>
      </c>
      <c r="E22" s="141">
        <f>SUMIF(EAEPE!$F$5:$F$1051,Hoja2!$A22,EAEPE!$L$5:$L$1051)</f>
        <v>12600</v>
      </c>
      <c r="F22" s="140"/>
    </row>
    <row r="23" spans="1:6" ht="12" x14ac:dyDescent="0.2">
      <c r="A23" s="63">
        <v>2000</v>
      </c>
      <c r="B23" s="77" t="s">
        <v>176</v>
      </c>
      <c r="C23" s="139">
        <f>SUMIF(EAEPE!$F$5:$F$1051,Hoja2!A23,EAEPE!$H$5:$H$1051)</f>
        <v>5576045</v>
      </c>
      <c r="D23" s="139">
        <f>SUMIF(EAEPE!$F$5:$F$1051,Hoja2!$A23,EAEPE!$J$5:$J$1051)</f>
        <v>5572245.0999999996</v>
      </c>
      <c r="E23" s="139">
        <f>SUMIF(EAEPE!$F$5:$F$1051,Hoja2!$A23,EAEPE!$L$5:$L$1051)</f>
        <v>1194469.5200000003</v>
      </c>
      <c r="F23" s="140"/>
    </row>
    <row r="24" spans="1:6" ht="12" x14ac:dyDescent="0.2">
      <c r="A24" s="72">
        <v>2111</v>
      </c>
      <c r="B24" s="73" t="s">
        <v>178</v>
      </c>
      <c r="C24" s="141">
        <f>SUMIF(EAEPE!$F$5:$F$1051,Hoja2!A24,EAEPE!$H$5:$H$1051)</f>
        <v>93559</v>
      </c>
      <c r="D24" s="141">
        <f>SUMIF(EAEPE!$F$5:$F$1051,Hoja2!$A24,EAEPE!$J$5:$J$1051)</f>
        <v>93559.06</v>
      </c>
      <c r="E24" s="141">
        <f>SUMIF(EAEPE!$F$5:$F$1051,Hoja2!$A24,EAEPE!$L$5:$L$1051)</f>
        <v>16007.52</v>
      </c>
      <c r="F24" s="140"/>
    </row>
    <row r="25" spans="1:6" ht="12" x14ac:dyDescent="0.2">
      <c r="A25" s="72">
        <v>2121</v>
      </c>
      <c r="B25" s="73" t="s">
        <v>179</v>
      </c>
      <c r="C25" s="141">
        <f>SUMIF(EAEPE!$F$5:$F$1051,Hoja2!A25,EAEPE!$H$5:$H$1051)</f>
        <v>93121</v>
      </c>
      <c r="D25" s="141">
        <f>SUMIF(EAEPE!$F$5:$F$1051,Hoja2!$A25,EAEPE!$J$5:$J$1051)</f>
        <v>93121</v>
      </c>
      <c r="E25" s="141">
        <f>SUMIF(EAEPE!$F$5:$F$1051,Hoja2!$A25,EAEPE!$L$5:$L$1051)</f>
        <v>4498.91</v>
      </c>
      <c r="F25" s="140"/>
    </row>
    <row r="26" spans="1:6" ht="12" x14ac:dyDescent="0.2">
      <c r="A26" s="72">
        <v>2131</v>
      </c>
      <c r="B26" s="73" t="s">
        <v>180</v>
      </c>
      <c r="C26" s="141">
        <f>SUMIF(EAEPE!$F$5:$F$1051,Hoja2!A26,EAEPE!$H$5:$H$1051)</f>
        <v>0</v>
      </c>
      <c r="D26" s="141">
        <f>SUMIF(EAEPE!$F$5:$F$1051,Hoja2!$A26,EAEPE!$J$5:$J$1051)</f>
        <v>0</v>
      </c>
      <c r="E26" s="141">
        <f>SUMIF(EAEPE!$F$5:$F$1051,Hoja2!$A26,EAEPE!$L$5:$L$1051)</f>
        <v>0</v>
      </c>
      <c r="F26" s="140"/>
    </row>
    <row r="27" spans="1:6" ht="12" x14ac:dyDescent="0.2">
      <c r="A27" s="72">
        <v>2141</v>
      </c>
      <c r="B27" s="73" t="s">
        <v>181</v>
      </c>
      <c r="C27" s="141">
        <f>SUMIF(EAEPE!$F$5:$F$1051,Hoja2!A27,EAEPE!$H$5:$H$1051)</f>
        <v>97572</v>
      </c>
      <c r="D27" s="141">
        <f>SUMIF(EAEPE!$F$5:$F$1051,Hoja2!$A27,EAEPE!$J$5:$J$1051)</f>
        <v>97572</v>
      </c>
      <c r="E27" s="141">
        <f>SUMIF(EAEPE!$F$5:$F$1051,Hoja2!$A27,EAEPE!$L$5:$L$1051)</f>
        <v>14629.960000000001</v>
      </c>
      <c r="F27" s="140"/>
    </row>
    <row r="28" spans="1:6" ht="12" x14ac:dyDescent="0.2">
      <c r="A28" s="72">
        <v>2151</v>
      </c>
      <c r="B28" s="73" t="s">
        <v>182</v>
      </c>
      <c r="C28" s="141">
        <f>SUMIF(EAEPE!$F$5:$F$1051,Hoja2!A28,EAEPE!$H$5:$H$1051)</f>
        <v>17660</v>
      </c>
      <c r="D28" s="141">
        <f>SUMIF(EAEPE!$F$5:$F$1051,Hoja2!$A28,EAEPE!$J$5:$J$1051)</f>
        <v>17660</v>
      </c>
      <c r="E28" s="141">
        <f>SUMIF(EAEPE!$F$5:$F$1051,Hoja2!$A28,EAEPE!$L$5:$L$1051)</f>
        <v>0</v>
      </c>
      <c r="F28" s="140"/>
    </row>
    <row r="29" spans="1:6" ht="12" x14ac:dyDescent="0.2">
      <c r="A29" s="72">
        <v>2161</v>
      </c>
      <c r="B29" s="73" t="s">
        <v>183</v>
      </c>
      <c r="C29" s="141">
        <f>SUMIF(EAEPE!$F$5:$F$1051,Hoja2!A29,EAEPE!$H$5:$H$1051)</f>
        <v>31453</v>
      </c>
      <c r="D29" s="141">
        <f>SUMIF(EAEPE!$F$5:$F$1051,Hoja2!$A29,EAEPE!$J$5:$J$1051)</f>
        <v>31453</v>
      </c>
      <c r="E29" s="141">
        <f>SUMIF(EAEPE!$F$5:$F$1051,Hoja2!$A29,EAEPE!$L$5:$L$1051)</f>
        <v>5561.3600000000006</v>
      </c>
      <c r="F29" s="140"/>
    </row>
    <row r="30" spans="1:6" ht="12" x14ac:dyDescent="0.2">
      <c r="A30" s="72">
        <v>2171</v>
      </c>
      <c r="B30" s="73" t="s">
        <v>184</v>
      </c>
      <c r="C30" s="141">
        <f>SUMIF(EAEPE!$F$5:$F$1051,Hoja2!A30,EAEPE!$H$5:$H$1051)</f>
        <v>45920</v>
      </c>
      <c r="D30" s="141">
        <f>SUMIF(EAEPE!$F$5:$F$1051,Hoja2!$A30,EAEPE!$J$5:$J$1051)</f>
        <v>45919.999999999985</v>
      </c>
      <c r="E30" s="141">
        <f>SUMIF(EAEPE!$F$5:$F$1051,Hoja2!$A30,EAEPE!$L$5:$L$1051)</f>
        <v>4450</v>
      </c>
      <c r="F30" s="140"/>
    </row>
    <row r="31" spans="1:6" ht="12" x14ac:dyDescent="0.2">
      <c r="A31" s="72">
        <v>2211</v>
      </c>
      <c r="B31" s="73" t="s">
        <v>185</v>
      </c>
      <c r="C31" s="141">
        <f>SUMIF(EAEPE!$F$5:$F$1051,Hoja2!A31,EAEPE!$H$5:$H$1051)</f>
        <v>34600</v>
      </c>
      <c r="D31" s="141">
        <f>SUMIF(EAEPE!$F$5:$F$1051,Hoja2!$A31,EAEPE!$J$5:$J$1051)</f>
        <v>34600</v>
      </c>
      <c r="E31" s="141">
        <f>SUMIF(EAEPE!$F$5:$F$1051,Hoja2!$A31,EAEPE!$L$5:$L$1051)</f>
        <v>4828</v>
      </c>
      <c r="F31" s="140"/>
    </row>
    <row r="32" spans="1:6" ht="12" x14ac:dyDescent="0.2">
      <c r="A32" s="72">
        <v>2231</v>
      </c>
      <c r="B32" s="73" t="s">
        <v>186</v>
      </c>
      <c r="C32" s="141">
        <f>SUMIF(EAEPE!$F$5:$F$1051,Hoja2!A32,EAEPE!$H$5:$H$1051)</f>
        <v>17744</v>
      </c>
      <c r="D32" s="141">
        <f>SUMIF(EAEPE!$F$5:$F$1051,Hoja2!$A32,EAEPE!$J$5:$J$1051)</f>
        <v>17744.039999999997</v>
      </c>
      <c r="E32" s="141">
        <f>SUMIF(EAEPE!$F$5:$F$1051,Hoja2!$A32,EAEPE!$L$5:$L$1051)</f>
        <v>9389.4800000000014</v>
      </c>
      <c r="F32" s="140"/>
    </row>
    <row r="33" spans="1:6" ht="12" x14ac:dyDescent="0.2">
      <c r="A33" s="72">
        <v>2411</v>
      </c>
      <c r="B33" s="73" t="s">
        <v>187</v>
      </c>
      <c r="C33" s="141">
        <f>SUMIF(EAEPE!$F$5:$F$1051,Hoja2!A33,EAEPE!$H$5:$H$1051)</f>
        <v>46860</v>
      </c>
      <c r="D33" s="141">
        <f>SUMIF(EAEPE!$F$5:$F$1051,Hoja2!$A33,EAEPE!$J$5:$J$1051)</f>
        <v>46860</v>
      </c>
      <c r="E33" s="141">
        <f>SUMIF(EAEPE!$F$5:$F$1051,Hoja2!$A33,EAEPE!$L$5:$L$1051)</f>
        <v>600</v>
      </c>
      <c r="F33" s="140"/>
    </row>
    <row r="34" spans="1:6" ht="12" x14ac:dyDescent="0.2">
      <c r="A34" s="72">
        <v>2461</v>
      </c>
      <c r="B34" s="73" t="s">
        <v>188</v>
      </c>
      <c r="C34" s="141">
        <f>SUMIF(EAEPE!$F$5:$F$1051,Hoja2!A34,EAEPE!$H$5:$H$1051)</f>
        <v>20140</v>
      </c>
      <c r="D34" s="141">
        <f>SUMIF(EAEPE!$F$5:$F$1051,Hoja2!$A34,EAEPE!$J$5:$J$1051)</f>
        <v>20140</v>
      </c>
      <c r="E34" s="141">
        <f>SUMIF(EAEPE!$F$5:$F$1051,Hoja2!$A34,EAEPE!$L$5:$L$1051)</f>
        <v>1662.74</v>
      </c>
      <c r="F34" s="140"/>
    </row>
    <row r="35" spans="1:6" ht="12" x14ac:dyDescent="0.2">
      <c r="A35" s="72">
        <v>2471</v>
      </c>
      <c r="B35" s="73" t="s">
        <v>189</v>
      </c>
      <c r="C35" s="141">
        <f>SUMIF(EAEPE!$F$5:$F$1051,Hoja2!A35,EAEPE!$H$5:$H$1051)</f>
        <v>116201</v>
      </c>
      <c r="D35" s="141">
        <f>SUMIF(EAEPE!$F$5:$F$1051,Hoja2!$A35,EAEPE!$J$5:$J$1051)</f>
        <v>112401.00000000001</v>
      </c>
      <c r="E35" s="141">
        <f>SUMIF(EAEPE!$F$5:$F$1051,Hoja2!$A35,EAEPE!$L$5:$L$1051)</f>
        <v>10019.120000000001</v>
      </c>
      <c r="F35" s="140"/>
    </row>
    <row r="36" spans="1:6" ht="12" x14ac:dyDescent="0.2">
      <c r="A36" s="72">
        <v>2481</v>
      </c>
      <c r="B36" s="73" t="s">
        <v>190</v>
      </c>
      <c r="C36" s="141">
        <f>SUMIF(EAEPE!$F$5:$F$1051,Hoja2!A36,EAEPE!$H$5:$H$1051)</f>
        <v>0</v>
      </c>
      <c r="D36" s="141">
        <f>SUMIF(EAEPE!$F$5:$F$1051,Hoja2!$A36,EAEPE!$J$5:$J$1051)</f>
        <v>0</v>
      </c>
      <c r="E36" s="141">
        <f>SUMIF(EAEPE!$F$5:$F$1051,Hoja2!$A36,EAEPE!$L$5:$L$1051)</f>
        <v>0</v>
      </c>
      <c r="F36" s="140"/>
    </row>
    <row r="37" spans="1:6" ht="12" x14ac:dyDescent="0.2">
      <c r="A37" s="72">
        <v>2491</v>
      </c>
      <c r="B37" s="73" t="s">
        <v>191</v>
      </c>
      <c r="C37" s="141">
        <f>SUMIF(EAEPE!$F$5:$F$1051,Hoja2!A37,EAEPE!$H$5:$H$1051)</f>
        <v>1816664</v>
      </c>
      <c r="D37" s="141">
        <f>SUMIF(EAEPE!$F$5:$F$1051,Hoja2!$A37,EAEPE!$J$5:$J$1051)</f>
        <v>1816664</v>
      </c>
      <c r="E37" s="141">
        <f>SUMIF(EAEPE!$F$5:$F$1051,Hoja2!$A37,EAEPE!$L$5:$L$1051)</f>
        <v>456026.4</v>
      </c>
      <c r="F37" s="140"/>
    </row>
    <row r="38" spans="1:6" ht="12" x14ac:dyDescent="0.2">
      <c r="A38" s="72">
        <v>2492</v>
      </c>
      <c r="B38" s="73" t="s">
        <v>192</v>
      </c>
      <c r="C38" s="141">
        <f>SUMIF(EAEPE!$F$5:$F$1051,Hoja2!A38,EAEPE!$H$5:$H$1051)</f>
        <v>1266707</v>
      </c>
      <c r="D38" s="141">
        <f>SUMIF(EAEPE!$F$5:$F$1051,Hoja2!$A38,EAEPE!$J$5:$J$1051)</f>
        <v>1266707</v>
      </c>
      <c r="E38" s="141">
        <f>SUMIF(EAEPE!$F$5:$F$1051,Hoja2!$A38,EAEPE!$L$5:$L$1051)</f>
        <v>209077.21000000002</v>
      </c>
      <c r="F38" s="140"/>
    </row>
    <row r="39" spans="1:6" ht="12" x14ac:dyDescent="0.2">
      <c r="A39" s="72">
        <v>2531</v>
      </c>
      <c r="B39" s="73" t="s">
        <v>193</v>
      </c>
      <c r="C39" s="141">
        <f>SUMIF(EAEPE!$F$5:$F$1051,Hoja2!A39,EAEPE!$H$5:$H$1051)</f>
        <v>3000</v>
      </c>
      <c r="D39" s="141">
        <f>SUMIF(EAEPE!$F$5:$F$1051,Hoja2!$A39,EAEPE!$J$5:$J$1051)</f>
        <v>3000</v>
      </c>
      <c r="E39" s="141">
        <f>SUMIF(EAEPE!$F$5:$F$1051,Hoja2!$A39,EAEPE!$L$5:$L$1051)</f>
        <v>0</v>
      </c>
      <c r="F39" s="140"/>
    </row>
    <row r="40" spans="1:6" ht="12" x14ac:dyDescent="0.2">
      <c r="A40" s="72">
        <v>2551</v>
      </c>
      <c r="B40" s="73" t="s">
        <v>194</v>
      </c>
      <c r="C40" s="141">
        <f>SUMIF(EAEPE!$F$5:$F$1051,Hoja2!A40,EAEPE!$H$5:$H$1051)</f>
        <v>0</v>
      </c>
      <c r="D40" s="141">
        <f>SUMIF(EAEPE!$F$5:$F$1051,Hoja2!$A40,EAEPE!$J$5:$J$1051)</f>
        <v>0</v>
      </c>
      <c r="E40" s="141">
        <f>SUMIF(EAEPE!$F$5:$F$1051,Hoja2!$A40,EAEPE!$L$5:$L$1051)</f>
        <v>0</v>
      </c>
      <c r="F40" s="140"/>
    </row>
    <row r="41" spans="1:6" ht="12" x14ac:dyDescent="0.2">
      <c r="A41" s="72">
        <v>2591</v>
      </c>
      <c r="B41" s="73" t="s">
        <v>195</v>
      </c>
      <c r="C41" s="141">
        <f>SUMIF(EAEPE!$F$5:$F$1051,Hoja2!A41,EAEPE!$H$5:$H$1051)</f>
        <v>558905</v>
      </c>
      <c r="D41" s="141">
        <f>SUMIF(EAEPE!$F$5:$F$1051,Hoja2!$A41,EAEPE!$J$5:$J$1051)</f>
        <v>558905</v>
      </c>
      <c r="E41" s="141">
        <f>SUMIF(EAEPE!$F$5:$F$1051,Hoja2!$A41,EAEPE!$L$5:$L$1051)</f>
        <v>125237.51</v>
      </c>
      <c r="F41" s="140"/>
    </row>
    <row r="42" spans="1:6" ht="12" x14ac:dyDescent="0.2">
      <c r="A42" s="72">
        <v>2611</v>
      </c>
      <c r="B42" s="73" t="s">
        <v>196</v>
      </c>
      <c r="C42" s="141">
        <f>SUMIF(EAEPE!$F$5:$F$1051,Hoja2!A42,EAEPE!$H$5:$H$1051)</f>
        <v>114909</v>
      </c>
      <c r="D42" s="141">
        <f>SUMIF(EAEPE!$F$5:$F$1051,Hoja2!$A42,EAEPE!$J$5:$J$1051)</f>
        <v>114909</v>
      </c>
      <c r="E42" s="141">
        <f>SUMIF(EAEPE!$F$5:$F$1051,Hoja2!$A42,EAEPE!$L$5:$L$1051)</f>
        <v>21338.959999999999</v>
      </c>
      <c r="F42" s="140"/>
    </row>
    <row r="43" spans="1:6" ht="12" x14ac:dyDescent="0.2">
      <c r="A43" s="72">
        <v>2612</v>
      </c>
      <c r="B43" s="73" t="s">
        <v>197</v>
      </c>
      <c r="C43" s="141">
        <f>SUMIF(EAEPE!$F$5:$F$1051,Hoja2!A43,EAEPE!$H$5:$H$1051)</f>
        <v>632766</v>
      </c>
      <c r="D43" s="141">
        <f>SUMIF(EAEPE!$F$5:$F$1051,Hoja2!$A43,EAEPE!$J$5:$J$1051)</f>
        <v>632766</v>
      </c>
      <c r="E43" s="141">
        <f>SUMIF(EAEPE!$F$5:$F$1051,Hoja2!$A43,EAEPE!$L$5:$L$1051)</f>
        <v>156013.31</v>
      </c>
      <c r="F43" s="140"/>
    </row>
    <row r="44" spans="1:6" ht="12" x14ac:dyDescent="0.2">
      <c r="A44" s="72">
        <v>2711</v>
      </c>
      <c r="B44" s="73" t="s">
        <v>198</v>
      </c>
      <c r="C44" s="141">
        <f>SUMIF(EAEPE!$F$5:$F$1051,Hoja2!A44,EAEPE!$H$5:$H$1051)</f>
        <v>90000</v>
      </c>
      <c r="D44" s="141">
        <f>SUMIF(EAEPE!$F$5:$F$1051,Hoja2!$A44,EAEPE!$J$5:$J$1051)</f>
        <v>90000</v>
      </c>
      <c r="E44" s="141">
        <f>SUMIF(EAEPE!$F$5:$F$1051,Hoja2!$A44,EAEPE!$L$5:$L$1051)</f>
        <v>49696.999999999993</v>
      </c>
      <c r="F44" s="140"/>
    </row>
    <row r="45" spans="1:6" ht="12" x14ac:dyDescent="0.2">
      <c r="A45" s="72">
        <v>2712</v>
      </c>
      <c r="B45" s="73" t="s">
        <v>199</v>
      </c>
      <c r="C45" s="141">
        <f>SUMIF(EAEPE!$F$5:$F$1051,Hoja2!A45,EAEPE!$H$5:$H$1051)</f>
        <v>294630</v>
      </c>
      <c r="D45" s="141">
        <f>SUMIF(EAEPE!$F$5:$F$1051,Hoja2!$A45,EAEPE!$J$5:$J$1051)</f>
        <v>294630</v>
      </c>
      <c r="E45" s="141">
        <f>SUMIF(EAEPE!$F$5:$F$1051,Hoja2!$A45,EAEPE!$L$5:$L$1051)</f>
        <v>79920.34</v>
      </c>
      <c r="F45" s="140"/>
    </row>
    <row r="46" spans="1:6" ht="12" x14ac:dyDescent="0.2">
      <c r="A46" s="72">
        <v>2721</v>
      </c>
      <c r="B46" s="73" t="s">
        <v>200</v>
      </c>
      <c r="C46" s="141">
        <f>SUMIF(EAEPE!$F$5:$F$1051,Hoja2!A46,EAEPE!$H$5:$H$1051)</f>
        <v>32039</v>
      </c>
      <c r="D46" s="141">
        <f>SUMIF(EAEPE!$F$5:$F$1051,Hoja2!$A46,EAEPE!$J$5:$J$1051)</f>
        <v>32039</v>
      </c>
      <c r="E46" s="141">
        <f>SUMIF(EAEPE!$F$5:$F$1051,Hoja2!$A46,EAEPE!$L$5:$L$1051)</f>
        <v>1113.46</v>
      </c>
      <c r="F46" s="140"/>
    </row>
    <row r="47" spans="1:6" ht="12" x14ac:dyDescent="0.2">
      <c r="A47" s="72">
        <v>2731</v>
      </c>
      <c r="B47" s="73" t="s">
        <v>201</v>
      </c>
      <c r="C47" s="141">
        <f>SUMIF(EAEPE!$F$5:$F$1051,Hoja2!A47,EAEPE!$H$5:$H$1051)</f>
        <v>8000</v>
      </c>
      <c r="D47" s="141">
        <f>SUMIF(EAEPE!$F$5:$F$1051,Hoja2!$A47,EAEPE!$J$5:$J$1051)</f>
        <v>8000</v>
      </c>
      <c r="E47" s="141">
        <f>SUMIF(EAEPE!$F$5:$F$1051,Hoja2!$A47,EAEPE!$L$5:$L$1051)</f>
        <v>0</v>
      </c>
      <c r="F47" s="140"/>
    </row>
    <row r="48" spans="1:6" ht="12" x14ac:dyDescent="0.2">
      <c r="A48" s="72">
        <v>2911</v>
      </c>
      <c r="B48" s="73" t="s">
        <v>202</v>
      </c>
      <c r="C48" s="141">
        <f>SUMIF(EAEPE!$F$5:$F$1051,Hoja2!A48,EAEPE!$H$5:$H$1051)</f>
        <v>135195</v>
      </c>
      <c r="D48" s="141">
        <f>SUMIF(EAEPE!$F$5:$F$1051,Hoja2!$A48,EAEPE!$J$5:$J$1051)</f>
        <v>135195</v>
      </c>
      <c r="E48" s="141">
        <f>SUMIF(EAEPE!$F$5:$F$1051,Hoja2!$A48,EAEPE!$L$5:$L$1051)</f>
        <v>22553.83</v>
      </c>
      <c r="F48" s="140"/>
    </row>
    <row r="49" spans="1:6" ht="12" x14ac:dyDescent="0.2">
      <c r="A49" s="63">
        <v>3000</v>
      </c>
      <c r="B49" s="77" t="s">
        <v>203</v>
      </c>
      <c r="C49" s="139">
        <f>SUMIF(EAEPE!$F$5:$F$1051,Hoja2!A49,EAEPE!$H$5:$H$1051)</f>
        <v>15671932</v>
      </c>
      <c r="D49" s="139">
        <f>SUMIF(EAEPE!$F$5:$F$1051,Hoja2!$A49,EAEPE!$J$5:$J$1051)</f>
        <v>15640885.439999999</v>
      </c>
      <c r="E49" s="139">
        <f>SUMIF(EAEPE!$F$5:$F$1051,Hoja2!$A49,EAEPE!$L$5:$L$1051)</f>
        <v>4423897.8699999992</v>
      </c>
      <c r="F49" s="140"/>
    </row>
    <row r="50" spans="1:6" ht="12" x14ac:dyDescent="0.2">
      <c r="A50" s="72">
        <v>3111</v>
      </c>
      <c r="B50" s="73" t="s">
        <v>204</v>
      </c>
      <c r="C50" s="141">
        <f>SUMIF(EAEPE!$F$5:$F$1051,Hoja2!A50,EAEPE!$H$5:$H$1051)</f>
        <v>6752550</v>
      </c>
      <c r="D50" s="141">
        <f>SUMIF(EAEPE!$F$5:$F$1051,Hoja2!$A50,EAEPE!$J$5:$J$1051)</f>
        <v>6756414.5800000001</v>
      </c>
      <c r="E50" s="141">
        <f>SUMIF(EAEPE!$F$5:$F$1051,Hoja2!$A50,EAEPE!$L$5:$L$1051)</f>
        <v>2001844.1899999995</v>
      </c>
      <c r="F50" s="140"/>
    </row>
    <row r="51" spans="1:6" ht="12" x14ac:dyDescent="0.2">
      <c r="A51" s="72">
        <v>3131</v>
      </c>
      <c r="B51" s="73" t="s">
        <v>205</v>
      </c>
      <c r="C51" s="141">
        <f>SUMIF(EAEPE!$F$5:$F$1051,Hoja2!A51,EAEPE!$H$5:$H$1051)</f>
        <v>8640</v>
      </c>
      <c r="D51" s="141">
        <f>SUMIF(EAEPE!$F$5:$F$1051,Hoja2!$A51,EAEPE!$J$5:$J$1051)</f>
        <v>8640</v>
      </c>
      <c r="E51" s="141">
        <f>SUMIF(EAEPE!$F$5:$F$1051,Hoja2!$A51,EAEPE!$L$5:$L$1051)</f>
        <v>1641.5700000000004</v>
      </c>
      <c r="F51" s="140"/>
    </row>
    <row r="52" spans="1:6" ht="12" x14ac:dyDescent="0.2">
      <c r="A52" s="72">
        <v>3141</v>
      </c>
      <c r="B52" s="73" t="s">
        <v>206</v>
      </c>
      <c r="C52" s="141">
        <f>SUMIF(EAEPE!$F$5:$F$1051,Hoja2!A52,EAEPE!$H$5:$H$1051)</f>
        <v>26460</v>
      </c>
      <c r="D52" s="141">
        <f>SUMIF(EAEPE!$F$5:$F$1051,Hoja2!$A52,EAEPE!$J$5:$J$1051)</f>
        <v>30662.549999999996</v>
      </c>
      <c r="E52" s="141">
        <f>SUMIF(EAEPE!$F$5:$F$1051,Hoja2!$A52,EAEPE!$L$5:$L$1051)</f>
        <v>9819.06</v>
      </c>
      <c r="F52" s="140"/>
    </row>
    <row r="53" spans="1:6" ht="12" x14ac:dyDescent="0.2">
      <c r="A53" s="72">
        <v>3161</v>
      </c>
      <c r="B53" s="73" t="s">
        <v>207</v>
      </c>
      <c r="C53" s="141">
        <f>SUMIF(EAEPE!$F$5:$F$1051,Hoja2!A53,EAEPE!$H$5:$H$1051)</f>
        <v>40800</v>
      </c>
      <c r="D53" s="141">
        <f>SUMIF(EAEPE!$F$5:$F$1051,Hoja2!$A53,EAEPE!$J$5:$J$1051)</f>
        <v>41241.31</v>
      </c>
      <c r="E53" s="141">
        <f>SUMIF(EAEPE!$F$5:$F$1051,Hoja2!$A53,EAEPE!$L$5:$L$1051)</f>
        <v>5167.21</v>
      </c>
      <c r="F53" s="140"/>
    </row>
    <row r="54" spans="1:6" ht="12" x14ac:dyDescent="0.2">
      <c r="A54" s="72">
        <v>3171</v>
      </c>
      <c r="B54" s="73" t="s">
        <v>208</v>
      </c>
      <c r="C54" s="141">
        <f>SUMIF(EAEPE!$F$5:$F$1051,Hoja2!A54,EAEPE!$H$5:$H$1051)</f>
        <v>12201</v>
      </c>
      <c r="D54" s="141">
        <f>SUMIF(EAEPE!$F$5:$F$1051,Hoja2!$A54,EAEPE!$J$5:$J$1051)</f>
        <v>12201</v>
      </c>
      <c r="E54" s="141">
        <f>SUMIF(EAEPE!$F$5:$F$1051,Hoja2!$A54,EAEPE!$L$5:$L$1051)</f>
        <v>0</v>
      </c>
      <c r="F54" s="140"/>
    </row>
    <row r="55" spans="1:6" ht="12" x14ac:dyDescent="0.2">
      <c r="A55" s="72">
        <v>3181</v>
      </c>
      <c r="B55" s="73" t="s">
        <v>209</v>
      </c>
      <c r="C55" s="141">
        <f>SUMIF(EAEPE!$F$5:$F$1051,Hoja2!A55,EAEPE!$H$5:$H$1051)</f>
        <v>0</v>
      </c>
      <c r="D55" s="141">
        <f>SUMIF(EAEPE!$F$5:$F$1051,Hoja2!$A55,EAEPE!$J$5:$J$1051)</f>
        <v>-2.2737367544323206E-13</v>
      </c>
      <c r="E55" s="141">
        <f>SUMIF(EAEPE!$F$5:$F$1051,Hoja2!$A55,EAEPE!$L$5:$L$1051)</f>
        <v>0</v>
      </c>
      <c r="F55" s="140"/>
    </row>
    <row r="56" spans="1:6" ht="12" x14ac:dyDescent="0.2">
      <c r="A56" s="72">
        <v>3182</v>
      </c>
      <c r="B56" s="73" t="s">
        <v>210</v>
      </c>
      <c r="C56" s="141">
        <f>SUMIF(EAEPE!$F$5:$F$1051,Hoja2!A56,EAEPE!$H$5:$H$1051)</f>
        <v>0</v>
      </c>
      <c r="D56" s="141">
        <f>SUMIF(EAEPE!$F$5:$F$1051,Hoja2!$A56,EAEPE!$J$5:$J$1051)</f>
        <v>0</v>
      </c>
      <c r="E56" s="141">
        <f>SUMIF(EAEPE!$F$5:$F$1051,Hoja2!$A56,EAEPE!$L$5:$L$1051)</f>
        <v>0</v>
      </c>
      <c r="F56" s="140"/>
    </row>
    <row r="57" spans="1:6" ht="12" x14ac:dyDescent="0.2">
      <c r="A57" s="72">
        <v>3211</v>
      </c>
      <c r="B57" s="73" t="s">
        <v>212</v>
      </c>
      <c r="C57" s="141">
        <f>SUMIF(EAEPE!$F$5:$F$1051,Hoja2!A57,EAEPE!$H$5:$H$1051)</f>
        <v>0</v>
      </c>
      <c r="D57" s="141">
        <f>SUMIF(EAEPE!$F$5:$F$1051,Hoja2!$A57,EAEPE!$J$5:$J$1051)</f>
        <v>0</v>
      </c>
      <c r="E57" s="141">
        <f>SUMIF(EAEPE!$F$5:$F$1051,Hoja2!$A57,EAEPE!$L$5:$L$1051)</f>
        <v>0</v>
      </c>
      <c r="F57" s="140"/>
    </row>
    <row r="58" spans="1:6" ht="12" x14ac:dyDescent="0.2">
      <c r="A58" s="72">
        <v>3231</v>
      </c>
      <c r="B58" s="73" t="s">
        <v>213</v>
      </c>
      <c r="C58" s="141">
        <f>SUMIF(EAEPE!$F$5:$F$1051,Hoja2!A58,EAEPE!$H$5:$H$1051)</f>
        <v>10000</v>
      </c>
      <c r="D58" s="141">
        <f>SUMIF(EAEPE!$F$5:$F$1051,Hoja2!$A58,EAEPE!$J$5:$J$1051)</f>
        <v>10000</v>
      </c>
      <c r="E58" s="141">
        <f>SUMIF(EAEPE!$F$5:$F$1051,Hoja2!$A58,EAEPE!$L$5:$L$1051)</f>
        <v>953.21000000000015</v>
      </c>
      <c r="F58" s="140"/>
    </row>
    <row r="59" spans="1:6" ht="12" x14ac:dyDescent="0.2">
      <c r="A59" s="72">
        <v>3261</v>
      </c>
      <c r="B59" s="73" t="s">
        <v>214</v>
      </c>
      <c r="C59" s="141">
        <f>SUMIF(EAEPE!$F$5:$F$1051,Hoja2!A59,EAEPE!$H$5:$H$1051)</f>
        <v>0</v>
      </c>
      <c r="D59" s="141">
        <f>SUMIF(EAEPE!$F$5:$F$1051,Hoja2!$A59,EAEPE!$J$5:$J$1051)</f>
        <v>0</v>
      </c>
      <c r="E59" s="141">
        <f>SUMIF(EAEPE!$F$5:$F$1051,Hoja2!$A59,EAEPE!$L$5:$L$1051)</f>
        <v>0</v>
      </c>
      <c r="F59" s="140"/>
    </row>
    <row r="60" spans="1:6" ht="12" x14ac:dyDescent="0.2">
      <c r="A60" s="72">
        <v>3291</v>
      </c>
      <c r="B60" s="73" t="s">
        <v>215</v>
      </c>
      <c r="C60" s="141">
        <f>SUMIF(EAEPE!$F$5:$F$1051,Hoja2!A60,EAEPE!$H$5:$H$1051)</f>
        <v>19200</v>
      </c>
      <c r="D60" s="141">
        <f>SUMIF(EAEPE!$F$5:$F$1051,Hoja2!$A60,EAEPE!$J$5:$J$1051)</f>
        <v>19200</v>
      </c>
      <c r="E60" s="141">
        <f>SUMIF(EAEPE!$F$5:$F$1051,Hoja2!$A60,EAEPE!$L$5:$L$1051)</f>
        <v>0</v>
      </c>
      <c r="F60" s="140"/>
    </row>
    <row r="61" spans="1:6" ht="12" x14ac:dyDescent="0.2">
      <c r="A61" s="72">
        <v>3311</v>
      </c>
      <c r="B61" s="73" t="s">
        <v>216</v>
      </c>
      <c r="C61" s="141">
        <f>SUMIF(EAEPE!$F$5:$F$1051,Hoja2!A61,EAEPE!$H$5:$H$1051)</f>
        <v>999000</v>
      </c>
      <c r="D61" s="141">
        <f>SUMIF(EAEPE!$F$5:$F$1051,Hoja2!$A61,EAEPE!$J$5:$J$1051)</f>
        <v>999000</v>
      </c>
      <c r="E61" s="141">
        <f>SUMIF(EAEPE!$F$5:$F$1051,Hoja2!$A61,EAEPE!$L$5:$L$1051)</f>
        <v>545891.54999999993</v>
      </c>
      <c r="F61" s="140"/>
    </row>
    <row r="62" spans="1:6" ht="12" x14ac:dyDescent="0.2">
      <c r="A62" s="72">
        <v>3331</v>
      </c>
      <c r="B62" s="73" t="s">
        <v>217</v>
      </c>
      <c r="C62" s="141">
        <f>SUMIF(EAEPE!$F$5:$F$1051,Hoja2!A62,EAEPE!$H$5:$H$1051)</f>
        <v>0</v>
      </c>
      <c r="D62" s="141">
        <f>SUMIF(EAEPE!$F$5:$F$1051,Hoja2!$A62,EAEPE!$J$5:$J$1051)</f>
        <v>0</v>
      </c>
      <c r="E62" s="141">
        <f>SUMIF(EAEPE!$F$5:$F$1051,Hoja2!$A62,EAEPE!$L$5:$L$1051)</f>
        <v>0</v>
      </c>
      <c r="F62" s="140"/>
    </row>
    <row r="63" spans="1:6" ht="12" x14ac:dyDescent="0.2">
      <c r="A63" s="72">
        <v>3332</v>
      </c>
      <c r="B63" s="73" t="s">
        <v>218</v>
      </c>
      <c r="C63" s="141">
        <f>SUMIF(EAEPE!$F$5:$F$1051,Hoja2!A63,EAEPE!$H$5:$H$1051)</f>
        <v>1488512</v>
      </c>
      <c r="D63" s="141">
        <f>SUMIF(EAEPE!$F$5:$F$1051,Hoja2!$A63,EAEPE!$J$5:$J$1051)</f>
        <v>1488512</v>
      </c>
      <c r="E63" s="141">
        <f>SUMIF(EAEPE!$F$5:$F$1051,Hoja2!$A63,EAEPE!$L$5:$L$1051)</f>
        <v>74413.72</v>
      </c>
      <c r="F63" s="140"/>
    </row>
    <row r="64" spans="1:6" ht="12" x14ac:dyDescent="0.2">
      <c r="A64" s="72">
        <v>3341</v>
      </c>
      <c r="B64" s="73" t="s">
        <v>219</v>
      </c>
      <c r="C64" s="141">
        <f>SUMIF(EAEPE!$F$5:$F$1051,Hoja2!A64,EAEPE!$H$5:$H$1051)</f>
        <v>124000</v>
      </c>
      <c r="D64" s="141">
        <f>SUMIF(EAEPE!$F$5:$F$1051,Hoja2!$A64,EAEPE!$J$5:$J$1051)</f>
        <v>124000</v>
      </c>
      <c r="E64" s="141">
        <f>SUMIF(EAEPE!$F$5:$F$1051,Hoja2!$A64,EAEPE!$L$5:$L$1051)</f>
        <v>16297.6</v>
      </c>
      <c r="F64" s="140"/>
    </row>
    <row r="65" spans="1:6" ht="12" x14ac:dyDescent="0.2">
      <c r="A65" s="72">
        <v>3381</v>
      </c>
      <c r="B65" s="73" t="s">
        <v>220</v>
      </c>
      <c r="C65" s="141">
        <f>SUMIF(EAEPE!$F$5:$F$1051,Hoja2!A65,EAEPE!$H$5:$H$1051)</f>
        <v>0</v>
      </c>
      <c r="D65" s="141">
        <f>SUMIF(EAEPE!$F$5:$F$1051,Hoja2!$A65,EAEPE!$J$5:$J$1051)</f>
        <v>0</v>
      </c>
      <c r="E65" s="141">
        <f>SUMIF(EAEPE!$F$5:$F$1051,Hoja2!$A65,EAEPE!$L$5:$L$1051)</f>
        <v>0</v>
      </c>
      <c r="F65" s="140"/>
    </row>
    <row r="66" spans="1:6" ht="12" x14ac:dyDescent="0.2">
      <c r="A66" s="72">
        <v>3391</v>
      </c>
      <c r="B66" s="73" t="s">
        <v>221</v>
      </c>
      <c r="C66" s="141">
        <f>SUMIF(EAEPE!$F$5:$F$1051,Hoja2!A66,EAEPE!$H$5:$H$1051)</f>
        <v>666000</v>
      </c>
      <c r="D66" s="141">
        <f>SUMIF(EAEPE!$F$5:$F$1051,Hoja2!$A66,EAEPE!$J$5:$J$1051)</f>
        <v>666000</v>
      </c>
      <c r="E66" s="141">
        <f>SUMIF(EAEPE!$F$5:$F$1051,Hoja2!$A66,EAEPE!$L$5:$L$1051)</f>
        <v>91494</v>
      </c>
      <c r="F66" s="140"/>
    </row>
    <row r="67" spans="1:6" ht="12" x14ac:dyDescent="0.2">
      <c r="A67" s="72">
        <v>3411</v>
      </c>
      <c r="B67" s="73" t="s">
        <v>222</v>
      </c>
      <c r="C67" s="141">
        <f>SUMIF(EAEPE!$F$5:$F$1051,Hoja2!A67,EAEPE!$H$5:$H$1051)</f>
        <v>72856</v>
      </c>
      <c r="D67" s="141">
        <f>SUMIF(EAEPE!$F$5:$F$1051,Hoja2!$A67,EAEPE!$J$5:$J$1051)</f>
        <v>72856</v>
      </c>
      <c r="E67" s="141">
        <f>SUMIF(EAEPE!$F$5:$F$1051,Hoja2!$A67,EAEPE!$L$5:$L$1051)</f>
        <v>13354.240000000002</v>
      </c>
      <c r="F67" s="140"/>
    </row>
    <row r="68" spans="1:6" ht="12" x14ac:dyDescent="0.2">
      <c r="A68" s="72">
        <v>3431</v>
      </c>
      <c r="B68" s="73" t="s">
        <v>223</v>
      </c>
      <c r="C68" s="141">
        <f>SUMIF(EAEPE!$F$5:$F$1051,Hoja2!A68,EAEPE!$H$5:$H$1051)</f>
        <v>290704</v>
      </c>
      <c r="D68" s="141">
        <f>SUMIF(EAEPE!$F$5:$F$1051,Hoja2!$A68,EAEPE!$J$5:$J$1051)</f>
        <v>290704</v>
      </c>
      <c r="E68" s="141">
        <f>SUMIF(EAEPE!$F$5:$F$1051,Hoja2!$A68,EAEPE!$L$5:$L$1051)</f>
        <v>49617.99</v>
      </c>
      <c r="F68" s="140"/>
    </row>
    <row r="69" spans="1:6" ht="12" x14ac:dyDescent="0.2">
      <c r="A69" s="72">
        <v>3451</v>
      </c>
      <c r="B69" s="73" t="s">
        <v>224</v>
      </c>
      <c r="C69" s="141">
        <f>SUMIF(EAEPE!$F$5:$F$1051,Hoja2!A69,EAEPE!$H$5:$H$1051)</f>
        <v>163603</v>
      </c>
      <c r="D69" s="141">
        <f>SUMIF(EAEPE!$F$5:$F$1051,Hoja2!$A69,EAEPE!$J$5:$J$1051)</f>
        <v>163603</v>
      </c>
      <c r="E69" s="141">
        <f>SUMIF(EAEPE!$F$5:$F$1051,Hoja2!$A69,EAEPE!$L$5:$L$1051)</f>
        <v>40428.750000000007</v>
      </c>
      <c r="F69" s="140"/>
    </row>
    <row r="70" spans="1:6" ht="12" x14ac:dyDescent="0.2">
      <c r="A70" s="72">
        <v>3471</v>
      </c>
      <c r="B70" s="73" t="s">
        <v>225</v>
      </c>
      <c r="C70" s="141">
        <f>SUMIF(EAEPE!$F$5:$F$1051,Hoja2!A70,EAEPE!$H$5:$H$1051)</f>
        <v>3600</v>
      </c>
      <c r="D70" s="141">
        <f>SUMIF(EAEPE!$F$5:$F$1051,Hoja2!$A70,EAEPE!$J$5:$J$1051)</f>
        <v>3600.0000000000009</v>
      </c>
      <c r="E70" s="141">
        <f>SUMIF(EAEPE!$F$5:$F$1051,Hoja2!$A70,EAEPE!$L$5:$L$1051)</f>
        <v>756.67000000000007</v>
      </c>
      <c r="F70" s="140"/>
    </row>
    <row r="71" spans="1:6" ht="12" x14ac:dyDescent="0.2">
      <c r="A71" s="72">
        <v>3491</v>
      </c>
      <c r="B71" s="73" t="s">
        <v>226</v>
      </c>
      <c r="C71" s="141">
        <f>SUMIF(EAEPE!$F$5:$F$1051,Hoja2!A71,EAEPE!$H$5:$H$1051)</f>
        <v>19176</v>
      </c>
      <c r="D71" s="141">
        <f>SUMIF(EAEPE!$F$5:$F$1051,Hoja2!$A71,EAEPE!$J$5:$J$1051)</f>
        <v>19176</v>
      </c>
      <c r="E71" s="141">
        <f>SUMIF(EAEPE!$F$5:$F$1051,Hoja2!$A71,EAEPE!$L$5:$L$1051)</f>
        <v>4741.24</v>
      </c>
      <c r="F71" s="140"/>
    </row>
    <row r="72" spans="1:6" ht="12" x14ac:dyDescent="0.2">
      <c r="A72" s="72">
        <v>3511</v>
      </c>
      <c r="B72" s="73" t="s">
        <v>227</v>
      </c>
      <c r="C72" s="141">
        <f>SUMIF(EAEPE!$F$5:$F$1051,Hoja2!A72,EAEPE!$H$5:$H$1051)</f>
        <v>0</v>
      </c>
      <c r="D72" s="141">
        <f>SUMIF(EAEPE!$F$5:$F$1051,Hoja2!$A72,EAEPE!$J$5:$J$1051)</f>
        <v>1.4551915228366852E-11</v>
      </c>
      <c r="E72" s="141">
        <f>SUMIF(EAEPE!$F$5:$F$1051,Hoja2!$A72,EAEPE!$L$5:$L$1051)</f>
        <v>0</v>
      </c>
      <c r="F72" s="140"/>
    </row>
    <row r="73" spans="1:6" ht="12" x14ac:dyDescent="0.2">
      <c r="A73" s="72">
        <v>3521</v>
      </c>
      <c r="B73" s="73" t="s">
        <v>228</v>
      </c>
      <c r="C73" s="141">
        <f>SUMIF(EAEPE!$F$5:$F$1051,Hoja2!A73,EAEPE!$H$5:$H$1051)</f>
        <v>0</v>
      </c>
      <c r="D73" s="141">
        <f>SUMIF(EAEPE!$F$5:$F$1051,Hoja2!$A73,EAEPE!$J$5:$J$1051)</f>
        <v>0</v>
      </c>
      <c r="E73" s="141">
        <f>SUMIF(EAEPE!$F$5:$F$1051,Hoja2!$A73,EAEPE!$L$5:$L$1051)</f>
        <v>0</v>
      </c>
      <c r="F73" s="140"/>
    </row>
    <row r="74" spans="1:6" ht="12" x14ac:dyDescent="0.2">
      <c r="A74" s="72">
        <v>3531</v>
      </c>
      <c r="B74" s="73" t="s">
        <v>229</v>
      </c>
      <c r="C74" s="141">
        <f>SUMIF(EAEPE!$F$5:$F$1051,Hoja2!A74,EAEPE!$H$5:$H$1051)</f>
        <v>0</v>
      </c>
      <c r="D74" s="141">
        <f>SUMIF(EAEPE!$F$5:$F$1051,Hoja2!$A74,EAEPE!$J$5:$J$1051)</f>
        <v>0</v>
      </c>
      <c r="E74" s="141">
        <f>SUMIF(EAEPE!$F$5:$F$1051,Hoja2!$A74,EAEPE!$L$5:$L$1051)</f>
        <v>0</v>
      </c>
      <c r="F74" s="140"/>
    </row>
    <row r="75" spans="1:6" ht="12" x14ac:dyDescent="0.2">
      <c r="A75" s="72">
        <v>3551</v>
      </c>
      <c r="B75" s="73" t="s">
        <v>230</v>
      </c>
      <c r="C75" s="141">
        <f>SUMIF(EAEPE!$F$5:$F$1051,Hoja2!A75,EAEPE!$H$5:$H$1051)</f>
        <v>301649</v>
      </c>
      <c r="D75" s="141">
        <f>SUMIF(EAEPE!$F$5:$F$1051,Hoja2!$A75,EAEPE!$J$5:$J$1051)</f>
        <v>301649</v>
      </c>
      <c r="E75" s="141">
        <f>SUMIF(EAEPE!$F$5:$F$1051,Hoja2!$A75,EAEPE!$L$5:$L$1051)</f>
        <v>77144.37</v>
      </c>
      <c r="F75" s="140"/>
    </row>
    <row r="76" spans="1:6" ht="12" x14ac:dyDescent="0.2">
      <c r="A76" s="72">
        <v>3571</v>
      </c>
      <c r="B76" s="73" t="s">
        <v>231</v>
      </c>
      <c r="C76" s="141">
        <f>SUMIF(EAEPE!$F$5:$F$1051,Hoja2!A76,EAEPE!$H$5:$H$1051)</f>
        <v>1566879</v>
      </c>
      <c r="D76" s="141">
        <f>SUMIF(EAEPE!$F$5:$F$1051,Hoja2!$A76,EAEPE!$J$5:$J$1051)</f>
        <v>1566879</v>
      </c>
      <c r="E76" s="141">
        <f>SUMIF(EAEPE!$F$5:$F$1051,Hoja2!$A76,EAEPE!$L$5:$L$1051)</f>
        <v>580347.06000000006</v>
      </c>
      <c r="F76" s="140"/>
    </row>
    <row r="77" spans="1:6" ht="12" x14ac:dyDescent="0.2">
      <c r="A77" s="72">
        <v>3572</v>
      </c>
      <c r="B77" s="73" t="s">
        <v>232</v>
      </c>
      <c r="C77" s="141">
        <f>SUMIF(EAEPE!$F$5:$F$1051,Hoja2!A77,EAEPE!$H$5:$H$1051)</f>
        <v>62800</v>
      </c>
      <c r="D77" s="141">
        <f>SUMIF(EAEPE!$F$5:$F$1051,Hoja2!$A77,EAEPE!$J$5:$J$1051)</f>
        <v>62800</v>
      </c>
      <c r="E77" s="141">
        <f>SUMIF(EAEPE!$F$5:$F$1051,Hoja2!$A77,EAEPE!$L$5:$L$1051)</f>
        <v>42400</v>
      </c>
      <c r="F77" s="140"/>
    </row>
    <row r="78" spans="1:6" ht="12" x14ac:dyDescent="0.2">
      <c r="A78" s="72">
        <v>3573</v>
      </c>
      <c r="B78" s="73" t="s">
        <v>233</v>
      </c>
      <c r="C78" s="141">
        <f>SUMIF(EAEPE!$F$5:$F$1051,Hoja2!A78,EAEPE!$H$5:$H$1051)</f>
        <v>92100</v>
      </c>
      <c r="D78" s="141">
        <f>SUMIF(EAEPE!$F$5:$F$1051,Hoja2!$A78,EAEPE!$J$5:$J$1051)</f>
        <v>92100</v>
      </c>
      <c r="E78" s="141">
        <f>SUMIF(EAEPE!$F$5:$F$1051,Hoja2!$A78,EAEPE!$L$5:$L$1051)</f>
        <v>165913.41</v>
      </c>
      <c r="F78" s="140"/>
    </row>
    <row r="79" spans="1:6" ht="12" x14ac:dyDescent="0.2">
      <c r="A79" s="72">
        <v>3574</v>
      </c>
      <c r="B79" s="73" t="s">
        <v>234</v>
      </c>
      <c r="C79" s="141">
        <f>SUMIF(EAEPE!$F$5:$F$1051,Hoja2!A79,EAEPE!$H$5:$H$1051)</f>
        <v>39600</v>
      </c>
      <c r="D79" s="141">
        <f>SUMIF(EAEPE!$F$5:$F$1051,Hoja2!$A79,EAEPE!$J$5:$J$1051)</f>
        <v>39600</v>
      </c>
      <c r="E79" s="141">
        <f>SUMIF(EAEPE!$F$5:$F$1051,Hoja2!$A79,EAEPE!$L$5:$L$1051)</f>
        <v>45900</v>
      </c>
      <c r="F79" s="140"/>
    </row>
    <row r="80" spans="1:6" ht="12" x14ac:dyDescent="0.2">
      <c r="A80" s="72">
        <v>3575</v>
      </c>
      <c r="B80" s="73" t="s">
        <v>235</v>
      </c>
      <c r="C80" s="141">
        <f>SUMIF(EAEPE!$F$5:$F$1051,Hoja2!A80,EAEPE!$H$5:$H$1051)</f>
        <v>40600</v>
      </c>
      <c r="D80" s="141">
        <f>SUMIF(EAEPE!$F$5:$F$1051,Hoja2!$A80,EAEPE!$J$5:$J$1051)</f>
        <v>40600</v>
      </c>
      <c r="E80" s="141">
        <f>SUMIF(EAEPE!$F$5:$F$1051,Hoja2!$A80,EAEPE!$L$5:$L$1051)</f>
        <v>55015</v>
      </c>
      <c r="F80" s="140"/>
    </row>
    <row r="81" spans="1:6" ht="12" x14ac:dyDescent="0.2">
      <c r="A81" s="72">
        <v>3576</v>
      </c>
      <c r="B81" s="73" t="s">
        <v>236</v>
      </c>
      <c r="C81" s="141">
        <f>SUMIF(EAEPE!$F$5:$F$1051,Hoja2!A81,EAEPE!$H$5:$H$1051)</f>
        <v>31600</v>
      </c>
      <c r="D81" s="141">
        <f>SUMIF(EAEPE!$F$5:$F$1051,Hoja2!$A81,EAEPE!$J$5:$J$1051)</f>
        <v>31600</v>
      </c>
      <c r="E81" s="141">
        <f>SUMIF(EAEPE!$F$5:$F$1051,Hoja2!$A81,EAEPE!$L$5:$L$1051)</f>
        <v>8613.0499999999993</v>
      </c>
      <c r="F81" s="140"/>
    </row>
    <row r="82" spans="1:6" ht="12" x14ac:dyDescent="0.2">
      <c r="A82" s="72">
        <v>3577</v>
      </c>
      <c r="B82" s="73" t="s">
        <v>237</v>
      </c>
      <c r="C82" s="141">
        <f>SUMIF(EAEPE!$F$5:$F$1051,Hoja2!A82,EAEPE!$H$5:$H$1051)</f>
        <v>7100</v>
      </c>
      <c r="D82" s="141">
        <f>SUMIF(EAEPE!$F$5:$F$1051,Hoja2!$A82,EAEPE!$J$5:$J$1051)</f>
        <v>7100</v>
      </c>
      <c r="E82" s="141">
        <f>SUMIF(EAEPE!$F$5:$F$1051,Hoja2!$A82,EAEPE!$L$5:$L$1051)</f>
        <v>0</v>
      </c>
      <c r="F82" s="140"/>
    </row>
    <row r="83" spans="1:6" ht="12" x14ac:dyDescent="0.2">
      <c r="A83" s="72">
        <v>3611</v>
      </c>
      <c r="B83" s="73" t="s">
        <v>238</v>
      </c>
      <c r="C83" s="141">
        <f>SUMIF(EAEPE!$F$5:$F$1051,Hoja2!A83,EAEPE!$H$5:$H$1051)</f>
        <v>151000</v>
      </c>
      <c r="D83" s="141">
        <f>SUMIF(EAEPE!$F$5:$F$1051,Hoja2!$A83,EAEPE!$J$5:$J$1051)</f>
        <v>80414</v>
      </c>
      <c r="E83" s="141">
        <f>SUMIF(EAEPE!$F$5:$F$1051,Hoja2!$A83,EAEPE!$L$5:$L$1051)</f>
        <v>15259.35</v>
      </c>
      <c r="F83" s="140"/>
    </row>
    <row r="84" spans="1:6" ht="12" x14ac:dyDescent="0.2">
      <c r="A84" s="72">
        <v>3721</v>
      </c>
      <c r="B84" s="73" t="s">
        <v>239</v>
      </c>
      <c r="C84" s="141">
        <f>SUMIF(EAEPE!$F$5:$F$1051,Hoja2!A84,EAEPE!$H$5:$H$1051)</f>
        <v>12600</v>
      </c>
      <c r="D84" s="141">
        <f>SUMIF(EAEPE!$F$5:$F$1051,Hoja2!$A84,EAEPE!$J$5:$J$1051)</f>
        <v>12600</v>
      </c>
      <c r="E84" s="141">
        <f>SUMIF(EAEPE!$F$5:$F$1051,Hoja2!$A84,EAEPE!$L$5:$L$1051)</f>
        <v>0</v>
      </c>
      <c r="F84" s="140"/>
    </row>
    <row r="85" spans="1:6" ht="12" x14ac:dyDescent="0.2">
      <c r="A85" s="72">
        <v>3722</v>
      </c>
      <c r="B85" s="73" t="s">
        <v>240</v>
      </c>
      <c r="C85" s="141">
        <f>SUMIF(EAEPE!$F$5:$F$1051,Hoja2!A85,EAEPE!$H$5:$H$1051)</f>
        <v>0</v>
      </c>
      <c r="D85" s="141">
        <f>SUMIF(EAEPE!$F$5:$F$1051,Hoja2!$A85,EAEPE!$J$5:$J$1051)</f>
        <v>0</v>
      </c>
      <c r="E85" s="141">
        <f>SUMIF(EAEPE!$F$5:$F$1051,Hoja2!$A85,EAEPE!$L$5:$L$1051)</f>
        <v>0</v>
      </c>
      <c r="F85" s="140"/>
    </row>
    <row r="86" spans="1:6" ht="12" x14ac:dyDescent="0.2">
      <c r="A86" s="72">
        <v>3751</v>
      </c>
      <c r="B86" s="73" t="s">
        <v>241</v>
      </c>
      <c r="C86" s="141">
        <f>SUMIF(EAEPE!$F$5:$F$1051,Hoja2!A86,EAEPE!$H$5:$H$1051)</f>
        <v>27000</v>
      </c>
      <c r="D86" s="141">
        <f>SUMIF(EAEPE!$F$5:$F$1051,Hoja2!$A86,EAEPE!$J$5:$J$1051)</f>
        <v>27000.000000000004</v>
      </c>
      <c r="E86" s="141">
        <f>SUMIF(EAEPE!$F$5:$F$1051,Hoja2!$A86,EAEPE!$L$5:$L$1051)</f>
        <v>1603.37</v>
      </c>
      <c r="F86" s="140"/>
    </row>
    <row r="87" spans="1:6" ht="12" x14ac:dyDescent="0.2">
      <c r="A87" s="72">
        <v>3821</v>
      </c>
      <c r="B87" s="73" t="s">
        <v>242</v>
      </c>
      <c r="C87" s="141">
        <f>SUMIF(EAEPE!$F$5:$F$1051,Hoja2!A87,EAEPE!$H$5:$H$1051)</f>
        <v>48000</v>
      </c>
      <c r="D87" s="141">
        <f>SUMIF(EAEPE!$F$5:$F$1051,Hoja2!$A87,EAEPE!$J$5:$J$1051)</f>
        <v>48000</v>
      </c>
      <c r="E87" s="141">
        <f>SUMIF(EAEPE!$F$5:$F$1051,Hoja2!$A87,EAEPE!$L$5:$L$1051)</f>
        <v>25337.899999999998</v>
      </c>
      <c r="F87" s="140"/>
    </row>
    <row r="88" spans="1:6" ht="12" x14ac:dyDescent="0.2">
      <c r="A88" s="72">
        <v>3822</v>
      </c>
      <c r="B88" s="73" t="s">
        <v>243</v>
      </c>
      <c r="C88" s="141">
        <f>SUMIF(EAEPE!$F$5:$F$1051,Hoja2!A88,EAEPE!$H$5:$H$1051)</f>
        <v>82000</v>
      </c>
      <c r="D88" s="141">
        <f>SUMIF(EAEPE!$F$5:$F$1051,Hoja2!$A88,EAEPE!$J$5:$J$1051)</f>
        <v>82000</v>
      </c>
      <c r="E88" s="141">
        <f>SUMIF(EAEPE!$F$5:$F$1051,Hoja2!$A88,EAEPE!$L$5:$L$1051)</f>
        <v>15263.460000000003</v>
      </c>
      <c r="F88" s="140"/>
    </row>
    <row r="89" spans="1:6" ht="12" x14ac:dyDescent="0.2">
      <c r="A89" s="72">
        <v>3831</v>
      </c>
      <c r="B89" s="73" t="s">
        <v>244</v>
      </c>
      <c r="C89" s="141">
        <f>SUMIF(EAEPE!$F$5:$F$1051,Hoja2!A89,EAEPE!$H$5:$H$1051)</f>
        <v>30000</v>
      </c>
      <c r="D89" s="141">
        <f>SUMIF(EAEPE!$F$5:$F$1051,Hoja2!$A89,EAEPE!$J$5:$J$1051)</f>
        <v>30000</v>
      </c>
      <c r="E89" s="141">
        <f>SUMIF(EAEPE!$F$5:$F$1051,Hoja2!$A89,EAEPE!$L$5:$L$1051)</f>
        <v>0</v>
      </c>
      <c r="F89" s="140"/>
    </row>
    <row r="90" spans="1:6" ht="12" x14ac:dyDescent="0.2">
      <c r="A90" s="72">
        <v>3851</v>
      </c>
      <c r="B90" s="73" t="s">
        <v>245</v>
      </c>
      <c r="C90" s="141">
        <f>SUMIF(EAEPE!$F$5:$F$1051,Hoja2!A90,EAEPE!$H$5:$H$1051)</f>
        <v>18000</v>
      </c>
      <c r="D90" s="141">
        <f>SUMIF(EAEPE!$F$5:$F$1051,Hoja2!$A90,EAEPE!$J$5:$J$1051)</f>
        <v>18000</v>
      </c>
      <c r="E90" s="141">
        <f>SUMIF(EAEPE!$F$5:$F$1051,Hoja2!$A90,EAEPE!$L$5:$L$1051)</f>
        <v>862.07</v>
      </c>
      <c r="F90" s="140"/>
    </row>
    <row r="91" spans="1:6" ht="12" x14ac:dyDescent="0.2">
      <c r="A91" s="72">
        <v>3921</v>
      </c>
      <c r="B91" s="73" t="s">
        <v>246</v>
      </c>
      <c r="C91" s="141">
        <f>SUMIF(EAEPE!$F$5:$F$1051,Hoja2!A91,EAEPE!$H$5:$H$1051)</f>
        <v>2016000</v>
      </c>
      <c r="D91" s="141">
        <f>SUMIF(EAEPE!$F$5:$F$1051,Hoja2!$A91,EAEPE!$J$5:$J$1051)</f>
        <v>2016000</v>
      </c>
      <c r="E91" s="141">
        <f>SUMIF(EAEPE!$F$5:$F$1051,Hoja2!$A91,EAEPE!$L$5:$L$1051)</f>
        <v>417109</v>
      </c>
      <c r="F91" s="140"/>
    </row>
    <row r="92" spans="1:6" ht="12" x14ac:dyDescent="0.2">
      <c r="A92" s="72">
        <v>3922</v>
      </c>
      <c r="B92" s="73" t="s">
        <v>247</v>
      </c>
      <c r="C92" s="141">
        <f>SUMIF(EAEPE!$F$5:$F$1051,Hoja2!A92,EAEPE!$H$5:$H$1051)</f>
        <v>160421</v>
      </c>
      <c r="D92" s="141">
        <f>SUMIF(EAEPE!$F$5:$F$1051,Hoja2!$A92,EAEPE!$J$5:$J$1051)</f>
        <v>160421</v>
      </c>
      <c r="E92" s="141">
        <f>SUMIF(EAEPE!$F$5:$F$1051,Hoja2!$A92,EAEPE!$L$5:$L$1051)</f>
        <v>28843</v>
      </c>
      <c r="F92" s="140"/>
    </row>
    <row r="93" spans="1:6" ht="12" x14ac:dyDescent="0.2">
      <c r="A93" s="72">
        <v>3923</v>
      </c>
      <c r="B93" s="73" t="s">
        <v>248</v>
      </c>
      <c r="C93" s="141">
        <f>SUMIF(EAEPE!$F$5:$F$1051,Hoja2!A93,EAEPE!$H$5:$H$1051)</f>
        <v>5646</v>
      </c>
      <c r="D93" s="141">
        <f>SUMIF(EAEPE!$F$5:$F$1051,Hoja2!$A93,EAEPE!$J$5:$J$1051)</f>
        <v>5646</v>
      </c>
      <c r="E93" s="141">
        <f>SUMIF(EAEPE!$F$5:$F$1051,Hoja2!$A93,EAEPE!$L$5:$L$1051)</f>
        <v>5529</v>
      </c>
      <c r="F93" s="140"/>
    </row>
    <row r="94" spans="1:6" ht="12" x14ac:dyDescent="0.2">
      <c r="A94" s="72">
        <v>3924</v>
      </c>
      <c r="B94" s="73" t="s">
        <v>249</v>
      </c>
      <c r="C94" s="141">
        <f>SUMIF(EAEPE!$F$5:$F$1051,Hoja2!A94,EAEPE!$H$5:$H$1051)</f>
        <v>9016</v>
      </c>
      <c r="D94" s="141">
        <f>SUMIF(EAEPE!$F$5:$F$1051,Hoja2!$A94,EAEPE!$J$5:$J$1051)</f>
        <v>9016</v>
      </c>
      <c r="E94" s="141">
        <f>SUMIF(EAEPE!$F$5:$F$1051,Hoja2!$A94,EAEPE!$L$5:$L$1051)</f>
        <v>9187</v>
      </c>
      <c r="F94" s="140"/>
    </row>
    <row r="95" spans="1:6" ht="12" x14ac:dyDescent="0.2">
      <c r="A95" s="72">
        <v>3925</v>
      </c>
      <c r="B95" s="73" t="s">
        <v>250</v>
      </c>
      <c r="C95" s="141">
        <f>SUMIF(EAEPE!$F$5:$F$1051,Hoja2!A95,EAEPE!$H$5:$H$1051)</f>
        <v>14179</v>
      </c>
      <c r="D95" s="141">
        <f>SUMIF(EAEPE!$F$5:$F$1051,Hoja2!$A95,EAEPE!$J$5:$J$1051)</f>
        <v>17979</v>
      </c>
      <c r="E95" s="141">
        <f>SUMIF(EAEPE!$F$5:$F$1051,Hoja2!$A95,EAEPE!$L$5:$L$1051)</f>
        <v>8978.2800000000007</v>
      </c>
      <c r="F95" s="140"/>
    </row>
    <row r="96" spans="1:6" ht="12" x14ac:dyDescent="0.2">
      <c r="A96" s="72">
        <v>3926</v>
      </c>
      <c r="B96" s="73" t="s">
        <v>251</v>
      </c>
      <c r="C96" s="141">
        <f>SUMIF(EAEPE!$F$5:$F$1051,Hoja2!A96,EAEPE!$H$5:$H$1051)</f>
        <v>0</v>
      </c>
      <c r="D96" s="141">
        <f>SUMIF(EAEPE!$F$5:$F$1051,Hoja2!$A96,EAEPE!$J$5:$J$1051)</f>
        <v>0</v>
      </c>
      <c r="E96" s="141">
        <f>SUMIF(EAEPE!$F$5:$F$1051,Hoja2!$A96,EAEPE!$L$5:$L$1051)</f>
        <v>0</v>
      </c>
      <c r="F96" s="140"/>
    </row>
    <row r="97" spans="1:6" ht="12" x14ac:dyDescent="0.2">
      <c r="A97" s="72">
        <v>3961</v>
      </c>
      <c r="B97" s="73" t="s">
        <v>252</v>
      </c>
      <c r="C97" s="141">
        <f>SUMIF(EAEPE!$F$5:$F$1051,Hoja2!A97,EAEPE!$H$5:$H$1051)</f>
        <v>12000</v>
      </c>
      <c r="D97" s="141">
        <f>SUMIF(EAEPE!$F$5:$F$1051,Hoja2!$A97,EAEPE!$J$5:$J$1051)</f>
        <v>12000</v>
      </c>
      <c r="E97" s="141">
        <f>SUMIF(EAEPE!$F$5:$F$1051,Hoja2!$A97,EAEPE!$L$5:$L$1051)</f>
        <v>0</v>
      </c>
      <c r="F97" s="140"/>
    </row>
    <row r="98" spans="1:6" ht="12" x14ac:dyDescent="0.2">
      <c r="A98" s="72">
        <v>3962</v>
      </c>
      <c r="B98" s="73" t="s">
        <v>253</v>
      </c>
      <c r="C98" s="141">
        <f>SUMIF(EAEPE!$F$5:$F$1051,Hoja2!A98,EAEPE!$H$5:$H$1051)</f>
        <v>507</v>
      </c>
      <c r="D98" s="141">
        <f>SUMIF(EAEPE!$F$5:$F$1051,Hoja2!$A98,EAEPE!$J$5:$J$1051)</f>
        <v>507</v>
      </c>
      <c r="E98" s="141">
        <f>SUMIF(EAEPE!$F$5:$F$1051,Hoja2!$A98,EAEPE!$L$5:$L$1051)</f>
        <v>12075.22</v>
      </c>
      <c r="F98" s="140"/>
    </row>
    <row r="99" spans="1:6" ht="12" x14ac:dyDescent="0.2">
      <c r="A99" s="72">
        <v>3981</v>
      </c>
      <c r="B99" s="73" t="s">
        <v>255</v>
      </c>
      <c r="C99" s="141">
        <f>SUMIF(EAEPE!$F$5:$F$1051,Hoja2!A99,EAEPE!$H$5:$H$1051)</f>
        <v>245933</v>
      </c>
      <c r="D99" s="141">
        <f>SUMIF(EAEPE!$F$5:$F$1051,Hoja2!$A99,EAEPE!$J$5:$J$1051)</f>
        <v>273164</v>
      </c>
      <c r="E99" s="141">
        <f>SUMIF(EAEPE!$F$5:$F$1051,Hoja2!$A99,EAEPE!$L$5:$L$1051)</f>
        <v>52096.329999999994</v>
      </c>
      <c r="F99" s="140"/>
    </row>
    <row r="100" spans="1:6" ht="12" x14ac:dyDescent="0.2">
      <c r="A100" s="63">
        <v>5000</v>
      </c>
      <c r="B100" s="77" t="s">
        <v>256</v>
      </c>
      <c r="C100" s="139">
        <f>SUMIF(EAEPE!$F$5:$F$1051,Hoja2!A100,EAEPE!$H$5:$H$1051)</f>
        <v>1407966</v>
      </c>
      <c r="D100" s="139">
        <f>SUMIF(EAEPE!$F$5:$F$1051,Hoja2!$A100,EAEPE!$J$5:$J$1051)</f>
        <v>1478552</v>
      </c>
      <c r="E100" s="139">
        <f>SUMIF(EAEPE!$F$5:$F$1051,Hoja2!$A100,EAEPE!$L$5:$L$1051)</f>
        <v>55682.479999999996</v>
      </c>
      <c r="F100" s="140"/>
    </row>
    <row r="101" spans="1:6" ht="12" x14ac:dyDescent="0.2">
      <c r="A101" s="72">
        <v>5111</v>
      </c>
      <c r="B101" s="73" t="s">
        <v>258</v>
      </c>
      <c r="C101" s="141">
        <f>SUMIF(EAEPE!$F$5:$F$1051,Hoja2!A101,EAEPE!$H$5:$H$1051)</f>
        <v>26599</v>
      </c>
      <c r="D101" s="141">
        <f>SUMIF(EAEPE!$F$5:$F$1051,Hoja2!$A101,EAEPE!$J$5:$J$1051)</f>
        <v>87916</v>
      </c>
      <c r="E101" s="141">
        <f>SUMIF(EAEPE!$F$5:$F$1051,Hoja2!$A101,EAEPE!$L$5:$L$1051)</f>
        <v>0</v>
      </c>
      <c r="F101" s="140"/>
    </row>
    <row r="102" spans="1:6" ht="12" x14ac:dyDescent="0.2">
      <c r="A102" s="72">
        <v>5151</v>
      </c>
      <c r="B102" s="73" t="s">
        <v>260</v>
      </c>
      <c r="C102" s="141">
        <f>SUMIF(EAEPE!$F$5:$F$1051,Hoja2!A102,EAEPE!$H$5:$H$1051)</f>
        <v>162097</v>
      </c>
      <c r="D102" s="141">
        <f>SUMIF(EAEPE!$F$5:$F$1051,Hoja2!$A102,EAEPE!$J$5:$J$1051)</f>
        <v>162097</v>
      </c>
      <c r="E102" s="141">
        <f>SUMIF(EAEPE!$F$5:$F$1051,Hoja2!$A102,EAEPE!$L$5:$L$1051)</f>
        <v>0</v>
      </c>
      <c r="F102" s="140"/>
    </row>
    <row r="103" spans="1:6" ht="12" x14ac:dyDescent="0.2">
      <c r="A103" s="72">
        <v>5152</v>
      </c>
      <c r="B103" s="73" t="s">
        <v>261</v>
      </c>
      <c r="C103" s="141">
        <f>SUMIF(EAEPE!$F$5:$F$1051,Hoja2!A103,EAEPE!$H$5:$H$1051)</f>
        <v>291061</v>
      </c>
      <c r="D103" s="141">
        <f>SUMIF(EAEPE!$F$5:$F$1051,Hoja2!$A103,EAEPE!$J$5:$J$1051)</f>
        <v>291061</v>
      </c>
      <c r="E103" s="141">
        <f>SUMIF(EAEPE!$F$5:$F$1051,Hoja2!$A103,EAEPE!$L$5:$L$1051)</f>
        <v>8864.64</v>
      </c>
      <c r="F103" s="140"/>
    </row>
    <row r="104" spans="1:6" ht="12" x14ac:dyDescent="0.2">
      <c r="A104" s="72">
        <v>5153</v>
      </c>
      <c r="B104" s="73" t="s">
        <v>262</v>
      </c>
      <c r="C104" s="141">
        <f>SUMIF(EAEPE!$F$5:$F$1051,Hoja2!A104,EAEPE!$H$5:$H$1051)</f>
        <v>0</v>
      </c>
      <c r="D104" s="141">
        <f>SUMIF(EAEPE!$F$5:$F$1051,Hoja2!$A104,EAEPE!$J$5:$J$1051)</f>
        <v>0</v>
      </c>
      <c r="E104" s="141">
        <f>SUMIF(EAEPE!$F$5:$F$1051,Hoja2!$A104,EAEPE!$L$5:$L$1051)</f>
        <v>0</v>
      </c>
      <c r="F104" s="140"/>
    </row>
    <row r="105" spans="1:6" ht="12" x14ac:dyDescent="0.2">
      <c r="A105" s="72">
        <v>5231</v>
      </c>
      <c r="B105" s="73" t="s">
        <v>263</v>
      </c>
      <c r="C105" s="141">
        <f>SUMIF(EAEPE!$F$5:$F$1051,Hoja2!A105,EAEPE!$H$5:$H$1051)</f>
        <v>4400</v>
      </c>
      <c r="D105" s="141">
        <f>SUMIF(EAEPE!$F$5:$F$1051,Hoja2!$A105,EAEPE!$J$5:$J$1051)</f>
        <v>4400</v>
      </c>
      <c r="E105" s="141">
        <f>SUMIF(EAEPE!$F$5:$F$1051,Hoja2!$A105,EAEPE!$L$5:$L$1051)</f>
        <v>0</v>
      </c>
      <c r="F105" s="140"/>
    </row>
    <row r="106" spans="1:6" ht="12" x14ac:dyDescent="0.2">
      <c r="A106" s="72">
        <v>5290</v>
      </c>
      <c r="B106" s="144" t="s">
        <v>395</v>
      </c>
      <c r="C106" s="141">
        <f>SUMIF(EAEPE!$F$5:$F$1051,Hoja2!A106,EAEPE!$H$5:$H$1051)</f>
        <v>0</v>
      </c>
      <c r="D106" s="141">
        <f>SUMIF(EAEPE!$F$5:$F$1051,Hoja2!$A106,EAEPE!$J$5:$J$1051)</f>
        <v>0</v>
      </c>
      <c r="E106" s="141">
        <f>SUMIF(EAEPE!$F$5:$F$1051,Hoja2!$A106,EAEPE!$L$5:$L$1051)</f>
        <v>24059.22</v>
      </c>
      <c r="F106" s="140"/>
    </row>
    <row r="107" spans="1:6" ht="12" x14ac:dyDescent="0.2">
      <c r="A107" s="72">
        <v>5411</v>
      </c>
      <c r="B107" s="73" t="s">
        <v>265</v>
      </c>
      <c r="C107" s="141">
        <f>SUMIF(EAEPE!$F$5:$F$1051,Hoja2!A107,EAEPE!$H$5:$H$1051)</f>
        <v>0</v>
      </c>
      <c r="D107" s="141">
        <f>SUMIF(EAEPE!$F$5:$F$1051,Hoja2!$A107,EAEPE!$J$5:$J$1051)</f>
        <v>0</v>
      </c>
      <c r="E107" s="141">
        <f>SUMIF(EAEPE!$F$5:$F$1051,Hoja2!$A107,EAEPE!$L$5:$L$1051)</f>
        <v>0</v>
      </c>
      <c r="F107" s="140"/>
    </row>
    <row r="108" spans="1:6" ht="12" x14ac:dyDescent="0.2">
      <c r="A108" s="72">
        <v>5491</v>
      </c>
      <c r="B108" s="73" t="s">
        <v>266</v>
      </c>
      <c r="C108" s="141">
        <f>SUMIF(EAEPE!$F$5:$F$1051,Hoja2!A108,EAEPE!$H$5:$H$1051)</f>
        <v>23400</v>
      </c>
      <c r="D108" s="141">
        <f>SUMIF(EAEPE!$F$5:$F$1051,Hoja2!$A108,EAEPE!$J$5:$J$1051)</f>
        <v>23400</v>
      </c>
      <c r="E108" s="141">
        <f>SUMIF(EAEPE!$F$5:$F$1051,Hoja2!$A108,EAEPE!$L$5:$L$1051)</f>
        <v>22758.62</v>
      </c>
      <c r="F108" s="140"/>
    </row>
    <row r="109" spans="1:6" ht="12" x14ac:dyDescent="0.2">
      <c r="A109" s="72">
        <v>5631</v>
      </c>
      <c r="B109" s="73" t="s">
        <v>267</v>
      </c>
      <c r="C109" s="141">
        <f>SUMIF(EAEPE!$F$5:$F$1051,Hoja2!A109,EAEPE!$H$5:$H$1051)</f>
        <v>49907</v>
      </c>
      <c r="D109" s="141">
        <f>SUMIF(EAEPE!$F$5:$F$1051,Hoja2!$A109,EAEPE!$J$5:$J$1051)</f>
        <v>49907</v>
      </c>
      <c r="E109" s="141">
        <f>SUMIF(EAEPE!$F$5:$F$1051,Hoja2!$A109,EAEPE!$L$5:$L$1051)</f>
        <v>0</v>
      </c>
      <c r="F109" s="140"/>
    </row>
    <row r="110" spans="1:6" ht="12" x14ac:dyDescent="0.2">
      <c r="A110" s="72">
        <v>5641</v>
      </c>
      <c r="B110" s="73" t="s">
        <v>396</v>
      </c>
      <c r="C110" s="141">
        <f>SUMIF(EAEPE!$F$5:$F$1051,Hoja2!A110,EAEPE!$H$5:$H$1051)</f>
        <v>0</v>
      </c>
      <c r="D110" s="141">
        <f>SUMIF(EAEPE!$F$5:$F$1051,Hoja2!$A110,EAEPE!$J$5:$J$1051)</f>
        <v>9269</v>
      </c>
      <c r="E110" s="141">
        <f>SUMIF(EAEPE!$F$5:$F$1051,Hoja2!$A110,EAEPE!$L$5:$L$1051)</f>
        <v>0</v>
      </c>
      <c r="F110" s="140"/>
    </row>
    <row r="111" spans="1:6" ht="12" x14ac:dyDescent="0.2">
      <c r="A111" s="72">
        <v>5651</v>
      </c>
      <c r="B111" s="73" t="s">
        <v>268</v>
      </c>
      <c r="C111" s="141">
        <f>SUMIF(EAEPE!$F$5:$F$1051,Hoja2!A111,EAEPE!$H$5:$H$1051)</f>
        <v>22837</v>
      </c>
      <c r="D111" s="141">
        <f>SUMIF(EAEPE!$F$5:$F$1051,Hoja2!$A111,EAEPE!$J$5:$J$1051)</f>
        <v>22837</v>
      </c>
      <c r="E111" s="141">
        <f>SUMIF(EAEPE!$F$5:$F$1051,Hoja2!$A111,EAEPE!$L$5:$L$1051)</f>
        <v>0</v>
      </c>
      <c r="F111" s="140"/>
    </row>
    <row r="112" spans="1:6" ht="12" x14ac:dyDescent="0.2">
      <c r="A112" s="72">
        <v>5671</v>
      </c>
      <c r="B112" s="73" t="s">
        <v>269</v>
      </c>
      <c r="C112" s="141">
        <f>SUMIF(EAEPE!$F$5:$F$1051,Hoja2!A112,EAEPE!$H$5:$H$1051)</f>
        <v>2147</v>
      </c>
      <c r="D112" s="141">
        <f>SUMIF(EAEPE!$F$5:$F$1051,Hoja2!$A112,EAEPE!$J$5:$J$1051)</f>
        <v>2147</v>
      </c>
      <c r="E112" s="141">
        <f>SUMIF(EAEPE!$F$5:$F$1051,Hoja2!$A112,EAEPE!$L$5:$L$1051)</f>
        <v>0</v>
      </c>
      <c r="F112" s="140"/>
    </row>
    <row r="113" spans="1:6" ht="12" x14ac:dyDescent="0.2">
      <c r="A113" s="72">
        <v>5911</v>
      </c>
      <c r="B113" s="73" t="s">
        <v>271</v>
      </c>
      <c r="C113" s="141">
        <f>SUMIF(EAEPE!$F$5:$F$1051,Hoja2!A113,EAEPE!$H$5:$H$1051)</f>
        <v>57945</v>
      </c>
      <c r="D113" s="141">
        <f>SUMIF(EAEPE!$F$5:$F$1051,Hoja2!$A113,EAEPE!$J$5:$J$1051)</f>
        <v>57945</v>
      </c>
      <c r="E113" s="141">
        <f>SUMIF(EAEPE!$F$5:$F$1051,Hoja2!$A113,EAEPE!$L$5:$L$1051)</f>
        <v>0</v>
      </c>
      <c r="F113" s="140"/>
    </row>
    <row r="114" spans="1:6" ht="12" x14ac:dyDescent="0.2">
      <c r="A114" s="72">
        <v>5951</v>
      </c>
      <c r="B114" s="73" t="s">
        <v>273</v>
      </c>
      <c r="C114" s="141">
        <f>SUMIF(EAEPE!$F$5:$F$1051,Hoja2!A114,EAEPE!$H$5:$H$1051)</f>
        <v>754573</v>
      </c>
      <c r="D114" s="141">
        <f>SUMIF(EAEPE!$F$5:$F$1051,Hoja2!$A114,EAEPE!$J$5:$J$1051)</f>
        <v>754573</v>
      </c>
      <c r="E114" s="141">
        <f>SUMIF(EAEPE!$F$5:$F$1051,Hoja2!$A114,EAEPE!$L$5:$L$1051)</f>
        <v>0</v>
      </c>
      <c r="F114" s="140"/>
    </row>
    <row r="115" spans="1:6" ht="12" x14ac:dyDescent="0.2">
      <c r="A115" s="63">
        <v>6000</v>
      </c>
      <c r="B115" s="68" t="s">
        <v>274</v>
      </c>
      <c r="C115" s="139">
        <f>SUMIF(EAEPE!$F$5:$F$1051,Hoja2!A115,EAEPE!$H$5:$H$1051)</f>
        <v>12210011</v>
      </c>
      <c r="D115" s="139">
        <f>SUMIF(EAEPE!$F$5:$F$1051,Hoja2!$A115,EAEPE!$J$5:$J$1051)</f>
        <v>19313601.010000002</v>
      </c>
      <c r="E115" s="139">
        <f>SUMIF(EAEPE!$F$5:$F$1051,Hoja2!$A115,EAEPE!$L$5:$L$1051)</f>
        <v>2474305.5999999996</v>
      </c>
      <c r="F115" s="140"/>
    </row>
    <row r="116" spans="1:6" ht="12" x14ac:dyDescent="0.2">
      <c r="A116" s="72">
        <v>6131</v>
      </c>
      <c r="B116" s="78" t="s">
        <v>277</v>
      </c>
      <c r="C116" s="141">
        <f>SUMIF(EAEPE!$F$5:$F$1051,Hoja2!A116,EAEPE!$H$5:$H$1051)</f>
        <v>1795484</v>
      </c>
      <c r="D116" s="141">
        <f>SUMIF(EAEPE!$F$5:$F$1051,Hoja2!$A116,EAEPE!$J$5:$J$1051)</f>
        <v>5743981.6900000013</v>
      </c>
      <c r="E116" s="141">
        <f>SUMIF(EAEPE!$F$5:$F$1051,Hoja2!$A116,EAEPE!$L$5:$L$1051)</f>
        <v>0</v>
      </c>
      <c r="F116" s="140"/>
    </row>
    <row r="117" spans="1:6" ht="12" x14ac:dyDescent="0.2">
      <c r="A117" s="72">
        <v>6161</v>
      </c>
      <c r="B117" s="78" t="s">
        <v>278</v>
      </c>
      <c r="C117" s="141">
        <f>SUMIF(EAEPE!$F$5:$F$1051,Hoja2!A117,EAEPE!$H$5:$H$1051)</f>
        <v>6248527</v>
      </c>
      <c r="D117" s="141">
        <f>SUMIF(EAEPE!$F$5:$F$1051,Hoja2!$A117,EAEPE!$J$5:$J$1051)</f>
        <v>9724333</v>
      </c>
      <c r="E117" s="141">
        <f>SUMIF(EAEPE!$F$5:$F$1051,Hoja2!$A117,EAEPE!$L$5:$L$1051)</f>
        <v>0</v>
      </c>
      <c r="F117" s="140"/>
    </row>
    <row r="118" spans="1:6" ht="12" x14ac:dyDescent="0.2">
      <c r="A118" s="72">
        <v>6162</v>
      </c>
      <c r="B118" s="78" t="s">
        <v>279</v>
      </c>
      <c r="C118" s="141">
        <f>SUMIF(EAEPE!$F$5:$F$1051,Hoja2!A118,EAEPE!$H$5:$H$1051)</f>
        <v>2016000</v>
      </c>
      <c r="D118" s="141">
        <f>SUMIF(EAEPE!$F$5:$F$1051,Hoja2!$A118,EAEPE!$J$5:$J$1051)</f>
        <v>3725286.3200000003</v>
      </c>
      <c r="E118" s="141">
        <f>SUMIF(EAEPE!$F$5:$F$1051,Hoja2!$A118,EAEPE!$L$5:$L$1051)</f>
        <v>1776253.7399999998</v>
      </c>
      <c r="F118" s="140"/>
    </row>
    <row r="119" spans="1:6" ht="12" x14ac:dyDescent="0.2">
      <c r="A119" s="72">
        <v>6171</v>
      </c>
      <c r="B119" s="78" t="s">
        <v>280</v>
      </c>
      <c r="C119" s="141">
        <f>SUMIF(EAEPE!$F$5:$F$1051,Hoja2!A119,EAEPE!$H$5:$H$1051)</f>
        <v>1730000</v>
      </c>
      <c r="D119" s="141">
        <f>SUMIF(EAEPE!$F$5:$F$1051,Hoja2!$A119,EAEPE!$J$5:$J$1051)</f>
        <v>0</v>
      </c>
      <c r="E119" s="141">
        <f>SUMIF(EAEPE!$F$5:$F$1051,Hoja2!$A119,EAEPE!$L$5:$L$1051)</f>
        <v>698051.86</v>
      </c>
      <c r="F119" s="140"/>
    </row>
    <row r="120" spans="1:6" ht="12" x14ac:dyDescent="0.2">
      <c r="A120" s="143">
        <v>6221</v>
      </c>
      <c r="B120" s="78" t="s">
        <v>306</v>
      </c>
      <c r="C120" s="141">
        <f>SUMIF(EAEPE!$F$5:$F$1051,Hoja2!A120,EAEPE!$H$5:$H$1051)</f>
        <v>420000</v>
      </c>
      <c r="D120" s="141">
        <f>SUMIF(EAEPE!$F$5:$F$1051,Hoja2!$A120,EAEPE!$J$5:$J$1051)</f>
        <v>120000</v>
      </c>
      <c r="E120" s="141">
        <f>SUMIF(EAEPE!$F$5:$F$1051,Hoja2!$A120,EAEPE!$L$5:$L$1051)</f>
        <v>0</v>
      </c>
      <c r="F120" s="140"/>
    </row>
    <row r="121" spans="1:6" x14ac:dyDescent="0.2">
      <c r="C121" s="139">
        <f>C3+C23+C49+C100+C115</f>
        <v>52450352</v>
      </c>
      <c r="D121" s="139">
        <f t="shared" ref="D121:E121" si="0">D3+D23+D49+D100+D115</f>
        <v>60166822.150000006</v>
      </c>
      <c r="E121" s="139">
        <f t="shared" si="0"/>
        <v>12063354.279999999</v>
      </c>
    </row>
    <row r="122" spans="1:6" x14ac:dyDescent="0.2">
      <c r="C122" s="142"/>
      <c r="D122" s="142"/>
    </row>
    <row r="123" spans="1:6" x14ac:dyDescent="0.2">
      <c r="D123" s="142"/>
      <c r="E123" s="142"/>
    </row>
  </sheetData>
  <dataValidations disablePrompts="1" count="5">
    <dataValidation allowBlank="1" showInputMessage="1" showErrorMessage="1" prompt="De acuerdo al Clasificador por objeto del gasto (capítulo, concepto; partida genérica y especifica), publicadas en el DOF el 22 de diciembre de 2014. A cuatro digitos." sqref="A2"/>
    <dataValidation allowBlank="1" showInputMessage="1" showErrorMessage="1" prompt="Se refiere al nombre que se asigna a cada uno de los desagregados que se señalan." sqref="B2"/>
    <dataValidation allowBlank="1" showInputMessage="1" showErrorMessage="1" prompt="Refleja las asignaciones presupuestarias anuales comprometidas en el Presupuesto de Egresos." sqref="C2"/>
    <dataValidation allowBlank="1" showInputMessage="1" showErrorMessage="1" prompt="Es el momento que refleja la asignación presupuestaria que resulta de incorporar; en su caso, las adecuaciones presupuestarias al presupuesto aprobado." sqref="D2"/>
    <dataValidation allowBlank="1" showInputMessage="1" showErrorMessage="1" prompt="En esta columna deben registrarse los &quot;cargos&quot; del devengado. Este momento contable refleja el reconocimiento de una obligación de pago a favor de terceros por la recepción de conformidad de bienes, servicios y obras oportunamente..." sqref="E2"/>
  </dataValidation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2"/>
  <sheetViews>
    <sheetView showGridLines="0" workbookViewId="0">
      <selection activeCell="K24" sqref="K24"/>
    </sheetView>
  </sheetViews>
  <sheetFormatPr baseColWidth="10" defaultRowHeight="11.25" x14ac:dyDescent="0.2"/>
  <cols>
    <col min="1" max="1" width="7.33203125" style="131" customWidth="1"/>
    <col min="2" max="2" width="72.83203125" style="131" customWidth="1"/>
    <col min="3" max="5" width="18.33203125" style="131" customWidth="1"/>
    <col min="6" max="8" width="18.33203125" style="135" customWidth="1"/>
    <col min="9" max="16384" width="12" style="107"/>
  </cols>
  <sheetData>
    <row r="1" spans="1:8" ht="35.1" customHeight="1" x14ac:dyDescent="0.2">
      <c r="A1" s="145" t="s">
        <v>339</v>
      </c>
      <c r="B1" s="146"/>
      <c r="C1" s="146"/>
      <c r="D1" s="146"/>
      <c r="E1" s="146"/>
      <c r="F1" s="146"/>
      <c r="G1" s="146"/>
      <c r="H1" s="147"/>
    </row>
    <row r="2" spans="1:8" ht="24.95" customHeight="1" x14ac:dyDescent="0.2">
      <c r="A2" s="108" t="s">
        <v>1</v>
      </c>
      <c r="B2" s="109" t="s">
        <v>4</v>
      </c>
      <c r="C2" s="110" t="s">
        <v>5</v>
      </c>
      <c r="D2" s="110" t="s">
        <v>142</v>
      </c>
      <c r="E2" s="110" t="s">
        <v>6</v>
      </c>
      <c r="F2" s="110" t="s">
        <v>8</v>
      </c>
      <c r="G2" s="110" t="s">
        <v>10</v>
      </c>
      <c r="H2" s="110" t="s">
        <v>11</v>
      </c>
    </row>
    <row r="3" spans="1:8" ht="12" x14ac:dyDescent="0.2">
      <c r="A3" s="111">
        <v>900001</v>
      </c>
      <c r="B3" s="112" t="s">
        <v>12</v>
      </c>
      <c r="C3" s="113">
        <f t="shared" ref="C3:H3" si="0">SUM(C4,C31,C32,C33)</f>
        <v>52030352</v>
      </c>
      <c r="D3" s="113">
        <f t="shared" si="0"/>
        <v>8016470.1500000022</v>
      </c>
      <c r="E3" s="113">
        <f t="shared" si="0"/>
        <v>60046822.149999999</v>
      </c>
      <c r="F3" s="113">
        <f t="shared" si="0"/>
        <v>12063354.279999997</v>
      </c>
      <c r="G3" s="113">
        <f t="shared" si="0"/>
        <v>11359607.169999998</v>
      </c>
      <c r="H3" s="114">
        <f t="shared" si="0"/>
        <v>47983467.870000005</v>
      </c>
    </row>
    <row r="4" spans="1:8" ht="12" x14ac:dyDescent="0.2">
      <c r="A4" s="115">
        <v>900002</v>
      </c>
      <c r="B4" s="116" t="s">
        <v>340</v>
      </c>
      <c r="C4" s="117">
        <f t="shared" ref="C4:H4" si="1">SUM(C5,C8,C17,C21,C24,C29)</f>
        <v>52030352</v>
      </c>
      <c r="D4" s="117">
        <f t="shared" si="1"/>
        <v>8016470.1500000022</v>
      </c>
      <c r="E4" s="117">
        <f t="shared" si="1"/>
        <v>60046822.149999999</v>
      </c>
      <c r="F4" s="117">
        <f t="shared" si="1"/>
        <v>12063354.279999997</v>
      </c>
      <c r="G4" s="117">
        <f t="shared" si="1"/>
        <v>11359607.169999998</v>
      </c>
      <c r="H4" s="118">
        <f t="shared" si="1"/>
        <v>47983467.870000005</v>
      </c>
    </row>
    <row r="5" spans="1:8" ht="12" x14ac:dyDescent="0.2">
      <c r="A5" s="115">
        <v>900003</v>
      </c>
      <c r="B5" s="119" t="s">
        <v>341</v>
      </c>
      <c r="C5" s="120">
        <f t="shared" ref="C5:H5" si="2">SUM(C6:C7)</f>
        <v>0</v>
      </c>
      <c r="D5" s="120">
        <f t="shared" si="2"/>
        <v>0</v>
      </c>
      <c r="E5" s="120">
        <f t="shared" si="2"/>
        <v>0</v>
      </c>
      <c r="F5" s="120">
        <f t="shared" si="2"/>
        <v>0</v>
      </c>
      <c r="G5" s="120">
        <f t="shared" si="2"/>
        <v>0</v>
      </c>
      <c r="H5" s="121">
        <f t="shared" si="2"/>
        <v>0</v>
      </c>
    </row>
    <row r="6" spans="1:8" ht="12" x14ac:dyDescent="0.2">
      <c r="A6" s="122" t="s">
        <v>342</v>
      </c>
      <c r="B6" s="123" t="s">
        <v>343</v>
      </c>
      <c r="C6" s="124">
        <v>0</v>
      </c>
      <c r="D6" s="124">
        <v>0</v>
      </c>
      <c r="E6" s="124">
        <v>0</v>
      </c>
      <c r="F6" s="124">
        <v>0</v>
      </c>
      <c r="G6" s="124">
        <v>0</v>
      </c>
      <c r="H6" s="124">
        <v>0</v>
      </c>
    </row>
    <row r="7" spans="1:8" ht="12" x14ac:dyDescent="0.2">
      <c r="A7" s="122" t="s">
        <v>344</v>
      </c>
      <c r="B7" s="123" t="s">
        <v>345</v>
      </c>
      <c r="C7" s="124">
        <v>0</v>
      </c>
      <c r="D7" s="124">
        <v>0</v>
      </c>
      <c r="E7" s="124">
        <v>0</v>
      </c>
      <c r="F7" s="124">
        <v>0</v>
      </c>
      <c r="G7" s="124">
        <v>0</v>
      </c>
      <c r="H7" s="125">
        <v>0</v>
      </c>
    </row>
    <row r="8" spans="1:8" ht="12" x14ac:dyDescent="0.2">
      <c r="A8" s="115">
        <v>900004</v>
      </c>
      <c r="B8" s="119" t="s">
        <v>346</v>
      </c>
      <c r="C8" s="120">
        <f t="shared" ref="C8:H8" si="3">SUM(C9:C16)</f>
        <v>49560643</v>
      </c>
      <c r="D8" s="120">
        <f t="shared" si="3"/>
        <v>7739329.5500000017</v>
      </c>
      <c r="E8" s="120">
        <f t="shared" si="3"/>
        <v>57299972.549999997</v>
      </c>
      <c r="F8" s="120">
        <f t="shared" si="3"/>
        <v>11553125.339999998</v>
      </c>
      <c r="G8" s="120">
        <f t="shared" si="3"/>
        <v>10948288.079999998</v>
      </c>
      <c r="H8" s="121">
        <f t="shared" si="3"/>
        <v>45746847.210000001</v>
      </c>
    </row>
    <row r="9" spans="1:8" ht="12" x14ac:dyDescent="0.2">
      <c r="A9" s="122" t="s">
        <v>347</v>
      </c>
      <c r="B9" s="123" t="s">
        <v>348</v>
      </c>
      <c r="C9" s="124">
        <f>SUMIF(EAEPE!$B$3:$B$1050,"E: Prestación de Servicios Públicos",EAEPE!$H$3:$H$1050)</f>
        <v>37770632</v>
      </c>
      <c r="D9" s="124">
        <f>SUMIF(EAEPE!$B$3:$B$1050,"E: Prestación de Servicios Públicos",EAEPE!$I$3:$I$1050)</f>
        <v>335739.54000000021</v>
      </c>
      <c r="E9" s="124">
        <f>SUMIF(EAEPE!$B$3:$B$1050,"E: Prestación de Servicios Públicos",EAEPE!$J$3:$J$1050)</f>
        <v>38106371.539999999</v>
      </c>
      <c r="F9" s="124">
        <f>SUMIF(EAEPE!$B$3:$B$1050,"E: Prestación de Servicios Públicos",EAEPE!$L$3:$L$1050)</f>
        <v>9078819.7399999984</v>
      </c>
      <c r="G9" s="124">
        <f>SUMIF(EAEPE!$B$3:$B$1050,"E: Prestación de Servicios Públicos",EAEPE!$N$3:$N$1050)</f>
        <v>8473982.4799999986</v>
      </c>
      <c r="H9" s="124">
        <f>E9-F9</f>
        <v>29027551.800000001</v>
      </c>
    </row>
    <row r="10" spans="1:8" ht="12" x14ac:dyDescent="0.2">
      <c r="A10" s="122" t="s">
        <v>349</v>
      </c>
      <c r="B10" s="123" t="s">
        <v>350</v>
      </c>
      <c r="C10" s="124">
        <v>0</v>
      </c>
      <c r="D10" s="124">
        <v>0</v>
      </c>
      <c r="E10" s="124">
        <v>0</v>
      </c>
      <c r="F10" s="124">
        <v>0</v>
      </c>
      <c r="G10" s="124">
        <v>0</v>
      </c>
      <c r="H10" s="125">
        <v>0</v>
      </c>
    </row>
    <row r="11" spans="1:8" ht="12" x14ac:dyDescent="0.2">
      <c r="A11" s="122" t="s">
        <v>351</v>
      </c>
      <c r="B11" s="123" t="s">
        <v>352</v>
      </c>
      <c r="C11" s="124">
        <v>0</v>
      </c>
      <c r="D11" s="124">
        <v>0</v>
      </c>
      <c r="E11" s="124">
        <v>0</v>
      </c>
      <c r="F11" s="124">
        <v>0</v>
      </c>
      <c r="G11" s="124">
        <v>0</v>
      </c>
      <c r="H11" s="125">
        <v>0</v>
      </c>
    </row>
    <row r="12" spans="1:8" ht="12" x14ac:dyDescent="0.2">
      <c r="A12" s="122" t="s">
        <v>353</v>
      </c>
      <c r="B12" s="123" t="s">
        <v>354</v>
      </c>
      <c r="C12" s="124">
        <v>0</v>
      </c>
      <c r="D12" s="124">
        <v>0</v>
      </c>
      <c r="E12" s="124">
        <v>0</v>
      </c>
      <c r="F12" s="124">
        <v>0</v>
      </c>
      <c r="G12" s="124">
        <v>0</v>
      </c>
      <c r="H12" s="125">
        <v>0</v>
      </c>
    </row>
    <row r="13" spans="1:8" ht="12" x14ac:dyDescent="0.2">
      <c r="A13" s="122" t="s">
        <v>355</v>
      </c>
      <c r="B13" s="123" t="s">
        <v>356</v>
      </c>
      <c r="C13" s="124">
        <v>0</v>
      </c>
      <c r="D13" s="124">
        <v>0</v>
      </c>
      <c r="E13" s="124">
        <v>0</v>
      </c>
      <c r="F13" s="124">
        <v>0</v>
      </c>
      <c r="G13" s="124">
        <v>0</v>
      </c>
      <c r="H13" s="125">
        <v>0</v>
      </c>
    </row>
    <row r="14" spans="1:8" ht="12" x14ac:dyDescent="0.2">
      <c r="A14" s="122" t="s">
        <v>357</v>
      </c>
      <c r="B14" s="123" t="s">
        <v>358</v>
      </c>
      <c r="C14" s="124">
        <v>0</v>
      </c>
      <c r="D14" s="124">
        <v>0</v>
      </c>
      <c r="E14" s="124">
        <v>0</v>
      </c>
      <c r="F14" s="124">
        <v>0</v>
      </c>
      <c r="G14" s="124">
        <v>0</v>
      </c>
      <c r="H14" s="125">
        <v>0</v>
      </c>
    </row>
    <row r="15" spans="1:8" ht="12" x14ac:dyDescent="0.2">
      <c r="A15" s="122" t="s">
        <v>359</v>
      </c>
      <c r="B15" s="123" t="s">
        <v>360</v>
      </c>
      <c r="C15" s="124">
        <v>0</v>
      </c>
      <c r="D15" s="124">
        <v>0</v>
      </c>
      <c r="E15" s="124">
        <v>0</v>
      </c>
      <c r="F15" s="124">
        <v>0</v>
      </c>
      <c r="G15" s="124">
        <v>0</v>
      </c>
      <c r="H15" s="125">
        <v>0</v>
      </c>
    </row>
    <row r="16" spans="1:8" ht="12" x14ac:dyDescent="0.2">
      <c r="A16" s="122" t="s">
        <v>361</v>
      </c>
      <c r="B16" s="123" t="s">
        <v>362</v>
      </c>
      <c r="C16" s="124">
        <f>SUMIF(EAEPE!$B$3:$B$1050,"K: Proyectos de Inversión",EAEPE!$H$3:$H$1050)</f>
        <v>11790011</v>
      </c>
      <c r="D16" s="124">
        <f>SUMIF(EAEPE!$B$3:$B$1050,"K: Proyectos de Inversión",EAEPE!$I$3:$I$1050)</f>
        <v>7403590.0100000016</v>
      </c>
      <c r="E16" s="124">
        <f>SUMIF(EAEPE!$B$3:$B$1050,"K: Proyectos de Inversión",EAEPE!$J$3:$J$1050)</f>
        <v>19193601.010000002</v>
      </c>
      <c r="F16" s="124">
        <f>SUMIF(EAEPE!$B$3:$B$1050,"K: Proyectos de Inversión",EAEPE!$L$3:$L$1050)</f>
        <v>2474305.5999999996</v>
      </c>
      <c r="G16" s="124">
        <f>SUMIF(EAEPE!$B$3:$B$1050,"K: Proyectos de Inversión",EAEPE!$N$3:$N$1050)</f>
        <v>2474305.5999999987</v>
      </c>
      <c r="H16" s="124">
        <f>E16-F16</f>
        <v>16719295.410000002</v>
      </c>
    </row>
    <row r="17" spans="1:8" ht="12" x14ac:dyDescent="0.2">
      <c r="A17" s="115">
        <v>900005</v>
      </c>
      <c r="B17" s="119" t="s">
        <v>363</v>
      </c>
      <c r="C17" s="120">
        <f t="shared" ref="C17:H17" si="4">SUM(C18:C20)</f>
        <v>0</v>
      </c>
      <c r="D17" s="120">
        <f t="shared" si="4"/>
        <v>0</v>
      </c>
      <c r="E17" s="120">
        <f t="shared" si="4"/>
        <v>0</v>
      </c>
      <c r="F17" s="120">
        <f t="shared" si="4"/>
        <v>0</v>
      </c>
      <c r="G17" s="120">
        <f t="shared" si="4"/>
        <v>0</v>
      </c>
      <c r="H17" s="121">
        <f t="shared" si="4"/>
        <v>0</v>
      </c>
    </row>
    <row r="18" spans="1:8" ht="12" x14ac:dyDescent="0.2">
      <c r="A18" s="122" t="s">
        <v>364</v>
      </c>
      <c r="B18" s="123" t="s">
        <v>365</v>
      </c>
      <c r="C18" s="124">
        <v>0</v>
      </c>
      <c r="D18" s="124">
        <v>0</v>
      </c>
      <c r="E18" s="124">
        <v>0</v>
      </c>
      <c r="F18" s="124">
        <v>0</v>
      </c>
      <c r="G18" s="124">
        <v>0</v>
      </c>
      <c r="H18" s="125">
        <v>0</v>
      </c>
    </row>
    <row r="19" spans="1:8" ht="12" x14ac:dyDescent="0.2">
      <c r="A19" s="122" t="s">
        <v>366</v>
      </c>
      <c r="B19" s="123" t="s">
        <v>367</v>
      </c>
      <c r="C19" s="124">
        <v>0</v>
      </c>
      <c r="D19" s="124">
        <v>0</v>
      </c>
      <c r="E19" s="124">
        <v>0</v>
      </c>
      <c r="F19" s="124">
        <v>0</v>
      </c>
      <c r="G19" s="124">
        <v>0</v>
      </c>
      <c r="H19" s="125">
        <v>0</v>
      </c>
    </row>
    <row r="20" spans="1:8" ht="12" x14ac:dyDescent="0.2">
      <c r="A20" s="122" t="s">
        <v>368</v>
      </c>
      <c r="B20" s="123" t="s">
        <v>369</v>
      </c>
      <c r="C20" s="124">
        <v>0</v>
      </c>
      <c r="D20" s="124">
        <v>0</v>
      </c>
      <c r="E20" s="124">
        <v>0</v>
      </c>
      <c r="F20" s="124">
        <v>0</v>
      </c>
      <c r="G20" s="124">
        <v>0</v>
      </c>
      <c r="H20" s="125">
        <v>0</v>
      </c>
    </row>
    <row r="21" spans="1:8" ht="12" x14ac:dyDescent="0.2">
      <c r="A21" s="115">
        <v>900006</v>
      </c>
      <c r="B21" s="119" t="s">
        <v>370</v>
      </c>
      <c r="C21" s="120">
        <f t="shared" ref="C21:H21" si="5">SUM(C22:C23)</f>
        <v>0</v>
      </c>
      <c r="D21" s="120">
        <f t="shared" si="5"/>
        <v>0</v>
      </c>
      <c r="E21" s="120">
        <f t="shared" si="5"/>
        <v>0</v>
      </c>
      <c r="F21" s="120">
        <f t="shared" si="5"/>
        <v>0</v>
      </c>
      <c r="G21" s="120">
        <f t="shared" si="5"/>
        <v>-3.637978807091713E-12</v>
      </c>
      <c r="H21" s="121">
        <f t="shared" si="5"/>
        <v>0</v>
      </c>
    </row>
    <row r="22" spans="1:8" ht="12" x14ac:dyDescent="0.2">
      <c r="A22" s="122" t="s">
        <v>371</v>
      </c>
      <c r="B22" s="123" t="s">
        <v>372</v>
      </c>
      <c r="C22" s="124">
        <f>SUMIF(EAEPE!$B$3:$B$1050,"L: Obligaciones de Cumplimiento de Resolución Judicial",EAEPE!$H$3:$H$1050)</f>
        <v>0</v>
      </c>
      <c r="D22" s="124">
        <f>SUMIF(EAEPE!$B$3:$B$1050,"L: Obligaciones de Cumplimiento de Resolución Judicial",EAEPE!$I$3:$I$1050)</f>
        <v>0</v>
      </c>
      <c r="E22" s="124">
        <f>SUMIF(EAEPE!$B$3:$B$1050,"L: Obligaciones de Cumplimiento de Resolución Judicial",EAEPE!$J$3:$J$1050)</f>
        <v>0</v>
      </c>
      <c r="F22" s="124">
        <f>SUMIF(EAEPE!$B$3:$B$1050,"L: Obligaciones de Cumplimiento de Resolución Judicial",EAEPE!$L$3:$L$1050)</f>
        <v>0</v>
      </c>
      <c r="G22" s="124">
        <f>SUMIF(EAEPE!$B$3:$B$1050,"L: Obligaciones de Cumplimiento de Resolución Judicial",EAEPE!$N$3:$N$1050)</f>
        <v>-3.637978807091713E-12</v>
      </c>
      <c r="H22" s="124">
        <f>E22-F22</f>
        <v>0</v>
      </c>
    </row>
    <row r="23" spans="1:8" ht="12" x14ac:dyDescent="0.2">
      <c r="A23" s="122" t="s">
        <v>373</v>
      </c>
      <c r="B23" s="123" t="s">
        <v>374</v>
      </c>
      <c r="C23" s="124">
        <v>0</v>
      </c>
      <c r="D23" s="124">
        <v>0</v>
      </c>
      <c r="E23" s="124">
        <v>0</v>
      </c>
      <c r="F23" s="124">
        <v>0</v>
      </c>
      <c r="G23" s="124">
        <v>0</v>
      </c>
      <c r="H23" s="125">
        <v>0</v>
      </c>
    </row>
    <row r="24" spans="1:8" ht="12" x14ac:dyDescent="0.2">
      <c r="A24" s="115">
        <v>900007</v>
      </c>
      <c r="B24" s="119" t="s">
        <v>375</v>
      </c>
      <c r="C24" s="120">
        <f t="shared" ref="C24:H24" si="6">SUM(C25:C28)</f>
        <v>2469709</v>
      </c>
      <c r="D24" s="120">
        <f t="shared" si="6"/>
        <v>277140.60000000009</v>
      </c>
      <c r="E24" s="120">
        <f t="shared" si="6"/>
        <v>2746849.6</v>
      </c>
      <c r="F24" s="120">
        <f t="shared" si="6"/>
        <v>510228.93999999994</v>
      </c>
      <c r="G24" s="120">
        <f t="shared" si="6"/>
        <v>411319.08999999997</v>
      </c>
      <c r="H24" s="121">
        <f t="shared" si="6"/>
        <v>2236620.66</v>
      </c>
    </row>
    <row r="25" spans="1:8" ht="12" x14ac:dyDescent="0.2">
      <c r="A25" s="122" t="s">
        <v>376</v>
      </c>
      <c r="B25" s="123" t="s">
        <v>103</v>
      </c>
      <c r="C25" s="124">
        <v>0</v>
      </c>
      <c r="D25" s="124">
        <v>0</v>
      </c>
      <c r="E25" s="124">
        <v>0</v>
      </c>
      <c r="F25" s="124">
        <v>0</v>
      </c>
      <c r="G25" s="124">
        <v>0</v>
      </c>
      <c r="H25" s="125">
        <v>0</v>
      </c>
    </row>
    <row r="26" spans="1:8" ht="12" x14ac:dyDescent="0.2">
      <c r="A26" s="122" t="s">
        <v>377</v>
      </c>
      <c r="B26" s="123" t="s">
        <v>378</v>
      </c>
      <c r="C26" s="124">
        <f>SUMIF(EAEPE!$B$3:$B$1050,"T: Aportaciones a la Seguridad Social",EAEPE!$H$3:$H$1050)</f>
        <v>2469709</v>
      </c>
      <c r="D26" s="124">
        <f>SUMIF(EAEPE!$B$3:$B$1050,"T: Aportaciones a la Seguridad Social",EAEPE!$I$3:$I$1050)</f>
        <v>277140.60000000009</v>
      </c>
      <c r="E26" s="124">
        <f>SUMIF(EAEPE!$B$3:$B$1050,"T: Aportaciones a la Seguridad Social",EAEPE!$J$3:$J$1050)</f>
        <v>2746849.6</v>
      </c>
      <c r="F26" s="124">
        <f>SUMIF(EAEPE!$B$3:$B$1050,"T: Aportaciones a la Seguridad Social",EAEPE!$L$3:$L$1050)</f>
        <v>510228.93999999994</v>
      </c>
      <c r="G26" s="124">
        <f>SUMIF(EAEPE!$B$3:$B$1050,"T: Aportaciones a la Seguridad Social",EAEPE!$N$3:$N$1050)</f>
        <v>411319.08999999997</v>
      </c>
      <c r="H26" s="124">
        <f>E26-F26</f>
        <v>2236620.66</v>
      </c>
    </row>
    <row r="27" spans="1:8" ht="12" x14ac:dyDescent="0.2">
      <c r="A27" s="122" t="s">
        <v>379</v>
      </c>
      <c r="B27" s="123" t="s">
        <v>380</v>
      </c>
      <c r="C27" s="124">
        <v>0</v>
      </c>
      <c r="D27" s="124">
        <v>0</v>
      </c>
      <c r="E27" s="124">
        <v>0</v>
      </c>
      <c r="F27" s="124">
        <v>0</v>
      </c>
      <c r="G27" s="124">
        <v>0</v>
      </c>
      <c r="H27" s="125">
        <v>0</v>
      </c>
    </row>
    <row r="28" spans="1:8" ht="12" x14ac:dyDescent="0.2">
      <c r="A28" s="122" t="s">
        <v>381</v>
      </c>
      <c r="B28" s="123" t="s">
        <v>382</v>
      </c>
      <c r="C28" s="124">
        <v>0</v>
      </c>
      <c r="D28" s="124">
        <v>0</v>
      </c>
      <c r="E28" s="124">
        <v>0</v>
      </c>
      <c r="F28" s="124">
        <v>0</v>
      </c>
      <c r="G28" s="124">
        <v>0</v>
      </c>
      <c r="H28" s="125">
        <v>0</v>
      </c>
    </row>
    <row r="29" spans="1:8" ht="12" x14ac:dyDescent="0.2">
      <c r="A29" s="115">
        <v>900008</v>
      </c>
      <c r="B29" s="119" t="s">
        <v>383</v>
      </c>
      <c r="C29" s="120">
        <f t="shared" ref="C29:H29" si="7">SUM(C30)</f>
        <v>0</v>
      </c>
      <c r="D29" s="120">
        <f t="shared" si="7"/>
        <v>0</v>
      </c>
      <c r="E29" s="120">
        <f t="shared" si="7"/>
        <v>0</v>
      </c>
      <c r="F29" s="120">
        <f t="shared" si="7"/>
        <v>0</v>
      </c>
      <c r="G29" s="120">
        <f t="shared" si="7"/>
        <v>0</v>
      </c>
      <c r="H29" s="121">
        <f t="shared" si="7"/>
        <v>0</v>
      </c>
    </row>
    <row r="30" spans="1:8" ht="12" x14ac:dyDescent="0.2">
      <c r="A30" s="122" t="s">
        <v>384</v>
      </c>
      <c r="B30" s="123" t="s">
        <v>385</v>
      </c>
      <c r="C30" s="124">
        <v>0</v>
      </c>
      <c r="D30" s="124">
        <v>0</v>
      </c>
      <c r="E30" s="124">
        <v>0</v>
      </c>
      <c r="F30" s="124">
        <v>0</v>
      </c>
      <c r="G30" s="124">
        <v>0</v>
      </c>
      <c r="H30" s="125">
        <v>0</v>
      </c>
    </row>
    <row r="31" spans="1:8" ht="12" x14ac:dyDescent="0.2">
      <c r="A31" s="122" t="s">
        <v>386</v>
      </c>
      <c r="B31" s="126" t="s">
        <v>387</v>
      </c>
      <c r="C31" s="124">
        <v>0</v>
      </c>
      <c r="D31" s="124">
        <v>0</v>
      </c>
      <c r="E31" s="124">
        <v>0</v>
      </c>
      <c r="F31" s="124">
        <v>0</v>
      </c>
      <c r="G31" s="124">
        <v>0</v>
      </c>
      <c r="H31" s="125">
        <v>0</v>
      </c>
    </row>
    <row r="32" spans="1:8" ht="12" x14ac:dyDescent="0.2">
      <c r="A32" s="122" t="s">
        <v>388</v>
      </c>
      <c r="B32" s="126" t="s">
        <v>389</v>
      </c>
      <c r="C32" s="124">
        <v>0</v>
      </c>
      <c r="D32" s="124">
        <v>0</v>
      </c>
      <c r="E32" s="124">
        <v>0</v>
      </c>
      <c r="F32" s="124">
        <v>0</v>
      </c>
      <c r="G32" s="124">
        <v>0</v>
      </c>
      <c r="H32" s="125">
        <v>0</v>
      </c>
    </row>
    <row r="33" spans="1:8" ht="12" x14ac:dyDescent="0.2">
      <c r="A33" s="127" t="s">
        <v>390</v>
      </c>
      <c r="B33" s="128" t="s">
        <v>391</v>
      </c>
      <c r="C33" s="129">
        <v>0</v>
      </c>
      <c r="D33" s="129">
        <v>0</v>
      </c>
      <c r="E33" s="129">
        <v>0</v>
      </c>
      <c r="F33" s="129">
        <v>0</v>
      </c>
      <c r="G33" s="129">
        <v>0</v>
      </c>
      <c r="H33" s="130">
        <v>0</v>
      </c>
    </row>
    <row r="34" spans="1:8" ht="12" x14ac:dyDescent="0.2">
      <c r="C34" s="132"/>
      <c r="D34" s="132"/>
      <c r="E34" s="132"/>
      <c r="F34" s="133"/>
      <c r="G34" s="133"/>
      <c r="H34" s="133"/>
    </row>
    <row r="112" spans="12:12" ht="12" x14ac:dyDescent="0.2">
      <c r="L112" s="134"/>
    </row>
  </sheetData>
  <protectedRanges>
    <protectedRange sqref="B29:H29 B5:H5 B8:H8 A18:H20 B17:H17 B21:H21 A6:H7 B24:H24 A30:H65526 A9:H16 A22:H23 A25:H28" name="Rango1"/>
    <protectedRange sqref="C3:H4" name="Rango1_2"/>
  </protectedRanges>
  <mergeCells count="1">
    <mergeCell ref="A1:H1"/>
  </mergeCells>
  <dataValidations disablePrompts="1" count="8">
    <dataValidation allowBlank="1" showInputMessage="1" showErrorMessage="1" prompt="Refleja las modificaciones realizadas al Presupuesto Aprobado" sqref="D2"/>
    <dataValidation allowBlank="1" showInputMessage="1" showErrorMessage="1" prompt="Se refiere al nombre que se asigna a cada uno de los desagregados que se señalan." sqref="B2"/>
    <dataValidation allowBlank="1" showInputMessage="1" showErrorMessage="1" prompt="Refleja las asignaciones presupuestarias anuales comprometidas en el Presupuesto de Egresos." sqref="C2"/>
    <dataValidation allowBlank="1" showInputMessage="1" showErrorMessage="1" prompt="Es el momento que refleja la asignación presupuestaria que resulta de incorporar; en su caso, las adecuaciones presupuestarias al presupuesto aprobado." sqref="E2"/>
    <dataValidation allowBlank="1" showInputMessage="1" showErrorMessage="1" prompt="Clasificación Programática de acuerdo al emitido por el CONAC (DOF 8-ago-13)." sqref="A2"/>
    <dataValidation allowBlank="1" showInputMessage="1" showErrorMessage="1" prompt="En esta columna deben registrarse los &quot;cargos&quot; del devengado. Este momento contable refleja el reconocimiento de una obligación de pago a favor de terceros por la recepción de conformidad de bienes, servicios y obras oportunamente..." sqref="F2"/>
    <dataValidation allowBlank="1" showInputMessage="1" showErrorMessage="1" prompt="Modificado menos devengado" sqref="H2"/>
    <dataValidation allowBlank="1" showInputMessage="1" showErrorMessage="1" prompt="Es el momento que refleja la cancelación total o parcial de las obligaciones de pago, que se concreta mediante el desembolso de efectivo o cualquier otro medio de pago." sqref="G2"/>
  </dataValidations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51"/>
  <sheetViews>
    <sheetView showGridLines="0" tabSelected="1" workbookViewId="0">
      <selection sqref="A1:O1"/>
    </sheetView>
  </sheetViews>
  <sheetFormatPr baseColWidth="10" defaultRowHeight="11.25" x14ac:dyDescent="0.2"/>
  <cols>
    <col min="1" max="3" width="4.83203125" style="26" customWidth="1"/>
    <col min="4" max="5" width="9.1640625" style="26" customWidth="1"/>
    <col min="6" max="6" width="8.1640625" style="26" bestFit="1" customWidth="1"/>
    <col min="7" max="7" width="72.83203125" style="26" customWidth="1"/>
    <col min="8" max="8" width="18.33203125" style="47" customWidth="1"/>
    <col min="9" max="9" width="16.6640625" style="47" customWidth="1"/>
    <col min="10" max="15" width="18.33203125" style="47" customWidth="1"/>
    <col min="16" max="16384" width="12" style="26"/>
  </cols>
  <sheetData>
    <row r="1" spans="1:15" ht="35.1" customHeight="1" x14ac:dyDescent="0.2">
      <c r="A1" s="148" t="s">
        <v>334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50"/>
    </row>
    <row r="2" spans="1:15" ht="24.95" customHeight="1" x14ac:dyDescent="0.2">
      <c r="A2" s="43" t="s">
        <v>0</v>
      </c>
      <c r="B2" s="45" t="s">
        <v>1</v>
      </c>
      <c r="C2" s="43" t="s">
        <v>13</v>
      </c>
      <c r="D2" s="45" t="s">
        <v>2</v>
      </c>
      <c r="E2" s="43" t="s">
        <v>16</v>
      </c>
      <c r="F2" s="43" t="s">
        <v>3</v>
      </c>
      <c r="G2" s="43" t="s">
        <v>4</v>
      </c>
      <c r="H2" s="44" t="s">
        <v>5</v>
      </c>
      <c r="I2" s="44" t="s">
        <v>142</v>
      </c>
      <c r="J2" s="44" t="s">
        <v>6</v>
      </c>
      <c r="K2" s="44" t="s">
        <v>7</v>
      </c>
      <c r="L2" s="44" t="s">
        <v>8</v>
      </c>
      <c r="M2" s="44" t="s">
        <v>9</v>
      </c>
      <c r="N2" s="44" t="s">
        <v>10</v>
      </c>
      <c r="O2" s="44" t="s">
        <v>11</v>
      </c>
    </row>
    <row r="3" spans="1:15" ht="12" x14ac:dyDescent="0.2">
      <c r="A3" s="24">
        <v>900001</v>
      </c>
      <c r="B3" s="2"/>
      <c r="C3" s="4"/>
      <c r="D3" s="4"/>
      <c r="E3" s="4"/>
      <c r="F3" s="6"/>
      <c r="G3" s="3" t="s">
        <v>12</v>
      </c>
      <c r="H3" s="84">
        <f t="shared" ref="H3:N3" si="0">SUBTOTAL(9,H4:H1050)</f>
        <v>52030352</v>
      </c>
      <c r="I3" s="84">
        <f t="shared" si="0"/>
        <v>8016470.1500000022</v>
      </c>
      <c r="J3" s="84">
        <f t="shared" si="0"/>
        <v>60046822.149999999</v>
      </c>
      <c r="K3" s="84">
        <f t="shared" si="0"/>
        <v>12039295.059999999</v>
      </c>
      <c r="L3" s="84">
        <f t="shared" si="0"/>
        <v>12063354.279999999</v>
      </c>
      <c r="M3" s="84">
        <f t="shared" si="0"/>
        <v>12039295.059999999</v>
      </c>
      <c r="N3" s="84">
        <f t="shared" si="0"/>
        <v>11359607.17</v>
      </c>
      <c r="O3" s="66">
        <f>J3-L3</f>
        <v>47983467.869999997</v>
      </c>
    </row>
    <row r="4" spans="1:15" ht="12" x14ac:dyDescent="0.2">
      <c r="A4" s="60"/>
      <c r="B4" s="61"/>
      <c r="C4" s="61"/>
      <c r="D4" s="62"/>
      <c r="E4" s="61"/>
      <c r="F4" s="63"/>
      <c r="G4" s="64" t="s">
        <v>147</v>
      </c>
      <c r="H4" s="65">
        <f t="shared" ref="H4:N4" si="1">SUBTOTAL(9,H5:H119)</f>
        <v>3337968</v>
      </c>
      <c r="I4" s="65">
        <f t="shared" si="1"/>
        <v>20510.060000000001</v>
      </c>
      <c r="J4" s="65">
        <f t="shared" si="1"/>
        <v>3358478.06</v>
      </c>
      <c r="K4" s="65">
        <f t="shared" si="1"/>
        <v>920689.21</v>
      </c>
      <c r="L4" s="65">
        <f t="shared" si="1"/>
        <v>920689.21</v>
      </c>
      <c r="M4" s="65">
        <f t="shared" si="1"/>
        <v>920689.21</v>
      </c>
      <c r="N4" s="65">
        <f t="shared" si="1"/>
        <v>901668.54999999981</v>
      </c>
      <c r="O4" s="66">
        <f t="shared" ref="O4:O67" si="2">J4-L4</f>
        <v>2437788.85</v>
      </c>
    </row>
    <row r="5" spans="1:15" ht="108" x14ac:dyDescent="0.2">
      <c r="A5" s="67" t="s">
        <v>148</v>
      </c>
      <c r="B5" s="61"/>
      <c r="C5" s="61" t="s">
        <v>149</v>
      </c>
      <c r="D5" s="62" t="s">
        <v>150</v>
      </c>
      <c r="E5" s="61"/>
      <c r="F5" s="63">
        <v>1000</v>
      </c>
      <c r="G5" s="68" t="s">
        <v>151</v>
      </c>
      <c r="H5" s="69">
        <f t="shared" ref="H5:N5" si="3">SUBTOTAL(9,H6:H24)</f>
        <v>1483187</v>
      </c>
      <c r="I5" s="69">
        <f t="shared" si="3"/>
        <v>17282.54</v>
      </c>
      <c r="J5" s="69">
        <f t="shared" si="3"/>
        <v>1500469.54</v>
      </c>
      <c r="K5" s="70">
        <f t="shared" si="3"/>
        <v>339002.8</v>
      </c>
      <c r="L5" s="70">
        <f t="shared" si="3"/>
        <v>339002.8</v>
      </c>
      <c r="M5" s="70">
        <f t="shared" si="3"/>
        <v>339002.8</v>
      </c>
      <c r="N5" s="69">
        <f t="shared" si="3"/>
        <v>322716.81999999989</v>
      </c>
      <c r="O5" s="66">
        <f t="shared" si="2"/>
        <v>1161466.74</v>
      </c>
    </row>
    <row r="6" spans="1:15" ht="108" x14ac:dyDescent="0.2">
      <c r="A6" s="67" t="s">
        <v>148</v>
      </c>
      <c r="B6" s="61" t="s">
        <v>152</v>
      </c>
      <c r="C6" s="61" t="s">
        <v>149</v>
      </c>
      <c r="D6" s="62" t="s">
        <v>150</v>
      </c>
      <c r="E6" s="71" t="s">
        <v>153</v>
      </c>
      <c r="F6" s="72">
        <v>1131</v>
      </c>
      <c r="G6" s="73" t="s">
        <v>154</v>
      </c>
      <c r="H6" s="74">
        <f>[1]!'@CTA[8-2-1-1-1-1131,F,2,#6]'</f>
        <v>581126</v>
      </c>
      <c r="I6" s="74">
        <f>[1]!'@CTA[8-2-3-1-1-1131,F,2,#6]'</f>
        <v>0</v>
      </c>
      <c r="J6" s="75">
        <f>[1]!'@CTA[8-2-1-1-1-1131,F,2,#6]'+[1]!'@CTA[8-2-3-1-1-1131,F,2,#6]'</f>
        <v>581126</v>
      </c>
      <c r="K6" s="76">
        <f>[1]!'@CTA[8-2-4-1-1-1131,J,2,#6]'</f>
        <v>144868.63</v>
      </c>
      <c r="L6" s="76">
        <f>[1]!'@CTA[8-2-5-1-1-1131,J,2,#6]'</f>
        <v>144868.63</v>
      </c>
      <c r="M6" s="76">
        <f>[1]!'@CTA[8-2-6-1-1-1131,J,2,#6]'</f>
        <v>144868.63</v>
      </c>
      <c r="N6" s="74">
        <f>[1]!'@CTA[8-2-7-1-1-1131,F,2,#6]'</f>
        <v>133729.88000000024</v>
      </c>
      <c r="O6" s="66">
        <f t="shared" si="2"/>
        <v>436257.37</v>
      </c>
    </row>
    <row r="7" spans="1:15" ht="108" x14ac:dyDescent="0.2">
      <c r="A7" s="67" t="s">
        <v>148</v>
      </c>
      <c r="B7" s="61" t="s">
        <v>152</v>
      </c>
      <c r="C7" s="61" t="s">
        <v>149</v>
      </c>
      <c r="D7" s="62" t="s">
        <v>150</v>
      </c>
      <c r="E7" s="71" t="s">
        <v>153</v>
      </c>
      <c r="F7" s="72">
        <v>1211</v>
      </c>
      <c r="G7" s="73" t="s">
        <v>155</v>
      </c>
      <c r="H7" s="74">
        <f>[1]!'@CTA[8-2-1-1-2-1211,F,2,#6]'</f>
        <v>589160</v>
      </c>
      <c r="I7" s="74">
        <f>[1]!'@CTA[8-2-3-1-2-1211,F,2,#6]'</f>
        <v>0</v>
      </c>
      <c r="J7" s="75">
        <f>[1]!'@CTA[8-2-1-1-2-1211,F,2,#6]'+[1]!'@CTA[8-2-3-1-2-1211,F,2,#6]'</f>
        <v>589160</v>
      </c>
      <c r="K7" s="76">
        <f>[1]!'@CTA[8-2-4-1-2-1211,J,2,#6]'</f>
        <v>131985.1</v>
      </c>
      <c r="L7" s="76">
        <f>[1]!'@CTA[8-2-5-1-2-1211,J,2,#6]'</f>
        <v>131985.1</v>
      </c>
      <c r="M7" s="76">
        <f>[1]!'@CTA[8-2-6-1-2-1211,J,2,#6]'</f>
        <v>131985.1</v>
      </c>
      <c r="N7" s="74">
        <f>[1]!'@CTA[8-2-7-1-2-1211,F,2,#6]'</f>
        <v>131985.09999999971</v>
      </c>
      <c r="O7" s="66">
        <f t="shared" si="2"/>
        <v>457174.9</v>
      </c>
    </row>
    <row r="8" spans="1:15" ht="108" x14ac:dyDescent="0.2">
      <c r="A8" s="67" t="s">
        <v>148</v>
      </c>
      <c r="B8" s="61" t="s">
        <v>152</v>
      </c>
      <c r="C8" s="61" t="s">
        <v>149</v>
      </c>
      <c r="D8" s="62" t="s">
        <v>150</v>
      </c>
      <c r="E8" s="71" t="s">
        <v>153</v>
      </c>
      <c r="F8" s="72">
        <v>1221</v>
      </c>
      <c r="G8" s="73" t="s">
        <v>156</v>
      </c>
      <c r="H8" s="74">
        <f>[1]!'@CTA[8-2-1-1-2-1221,F,2,#6]'</f>
        <v>0</v>
      </c>
      <c r="I8" s="74">
        <f>[1]!'@CTA[8-2-3-1-2-1221,F,2,#6]'</f>
        <v>0</v>
      </c>
      <c r="J8" s="75">
        <f>[1]!'@CTA[8-2-1-1-2-1221,F,2,#6]'+[1]!'@CTA[8-2-3-1-2-1221,F,2,#6]'</f>
        <v>0</v>
      </c>
      <c r="K8" s="76">
        <f>[1]!'@CTA[8-2-4-1-2-1221,J,2,#6]'</f>
        <v>0</v>
      </c>
      <c r="L8" s="76">
        <f>[1]!'@CTA[8-2-5-1-2-1221,J,2,#6]'</f>
        <v>0</v>
      </c>
      <c r="M8" s="76">
        <f>[1]!'@CTA[8-2-6-1-2-1221,J,2,#6]'</f>
        <v>0</v>
      </c>
      <c r="N8" s="74">
        <f>[1]!'@CTA[8-2-7-1-2-1221,F,2,#6]'</f>
        <v>0</v>
      </c>
      <c r="O8" s="66">
        <f t="shared" si="2"/>
        <v>0</v>
      </c>
    </row>
    <row r="9" spans="1:15" ht="108" x14ac:dyDescent="0.2">
      <c r="A9" s="67" t="s">
        <v>148</v>
      </c>
      <c r="B9" s="61" t="s">
        <v>152</v>
      </c>
      <c r="C9" s="61" t="s">
        <v>149</v>
      </c>
      <c r="D9" s="62" t="s">
        <v>150</v>
      </c>
      <c r="E9" s="71" t="s">
        <v>153</v>
      </c>
      <c r="F9" s="72">
        <v>1311</v>
      </c>
      <c r="G9" s="73" t="s">
        <v>157</v>
      </c>
      <c r="H9" s="74">
        <f>[1]!'@CTA[8-2-1-1-3-1311,F,2,#6]'</f>
        <v>0</v>
      </c>
      <c r="I9" s="74">
        <f>[1]!'@CTA[8-2-3-1-3-1311,F,2,#6]'</f>
        <v>0</v>
      </c>
      <c r="J9" s="75">
        <f>[1]!'@CTA[8-2-1-1-3-1311,F,2,#6]'+[1]!'@CTA[8-2-3-1-3-1311,F,2,#6]'</f>
        <v>0</v>
      </c>
      <c r="K9" s="76">
        <f>[1]!'@CTA[8-2-4-1-3-1311,J,2,#6]'</f>
        <v>0</v>
      </c>
      <c r="L9" s="76">
        <f>[1]!'@CTA[8-2-5-1-3-1311,J,2,#6]'</f>
        <v>0</v>
      </c>
      <c r="M9" s="76">
        <f>[1]!'@CTA[8-2-6-1-3-1311,J,2,#6]'</f>
        <v>0</v>
      </c>
      <c r="N9" s="74">
        <f>[1]!'@CTA[8-2-7-1-3-1311,F,2,#6]'</f>
        <v>0</v>
      </c>
      <c r="O9" s="66">
        <f t="shared" si="2"/>
        <v>0</v>
      </c>
    </row>
    <row r="10" spans="1:15" ht="108" x14ac:dyDescent="0.2">
      <c r="A10" s="67" t="s">
        <v>148</v>
      </c>
      <c r="B10" s="61" t="s">
        <v>152</v>
      </c>
      <c r="C10" s="61" t="s">
        <v>149</v>
      </c>
      <c r="D10" s="62" t="s">
        <v>150</v>
      </c>
      <c r="E10" s="71" t="s">
        <v>153</v>
      </c>
      <c r="F10" s="72">
        <v>1321</v>
      </c>
      <c r="G10" s="73" t="s">
        <v>158</v>
      </c>
      <c r="H10" s="74">
        <f>[1]!'@CTA[8-2-1-1-3-1321,F,2,#6]'</f>
        <v>0</v>
      </c>
      <c r="I10" s="74">
        <f>[1]!'@CTA[8-2-3-1-3-1321,F,2,#6]'</f>
        <v>0</v>
      </c>
      <c r="J10" s="75">
        <f>[1]!'@CTA[8-2-1-1-3-1321,F,2,#6]'+[1]!'@CTA[8-2-3-1-3-1321,F,2,#6]'</f>
        <v>0</v>
      </c>
      <c r="K10" s="76">
        <f>[1]!'@CTA[8-2-4-1-3-1321,J,2,#6]'</f>
        <v>0</v>
      </c>
      <c r="L10" s="76">
        <f>[1]!'@CTA[8-2-5-1-3-1321,J,2,#6]'</f>
        <v>0</v>
      </c>
      <c r="M10" s="76">
        <f>[1]!'@CTA[8-2-6-1-3-1321,J,2,#6]'</f>
        <v>0</v>
      </c>
      <c r="N10" s="74">
        <f>[1]!'@CTA[8-2-7-1-3-1321,F,2,#6]'</f>
        <v>0</v>
      </c>
      <c r="O10" s="66">
        <f t="shared" si="2"/>
        <v>0</v>
      </c>
    </row>
    <row r="11" spans="1:15" ht="108" x14ac:dyDescent="0.2">
      <c r="A11" s="67" t="s">
        <v>148</v>
      </c>
      <c r="B11" s="61" t="s">
        <v>152</v>
      </c>
      <c r="C11" s="61" t="s">
        <v>149</v>
      </c>
      <c r="D11" s="62" t="s">
        <v>150</v>
      </c>
      <c r="E11" s="71" t="s">
        <v>153</v>
      </c>
      <c r="F11" s="72">
        <v>1322</v>
      </c>
      <c r="G11" s="73" t="s">
        <v>159</v>
      </c>
      <c r="H11" s="74">
        <f>[1]!'@CTA[8-2-1-1-3-1322,F,2,#6]'</f>
        <v>17504</v>
      </c>
      <c r="I11" s="74">
        <f>[1]!'@CTA[8-2-3-1-3-1322,F,2,#6]'</f>
        <v>0</v>
      </c>
      <c r="J11" s="75">
        <f>[1]!'@CTA[8-2-1-1-3-1322,F,2,#6]'+[1]!'@CTA[8-2-3-1-3-1322,F,2,#6]'</f>
        <v>17504</v>
      </c>
      <c r="K11" s="76">
        <f>[1]!'@CTA[8-2-4-1-3-1322,J,2,#6]'</f>
        <v>0</v>
      </c>
      <c r="L11" s="76">
        <f>[1]!'@CTA[8-2-5-1-3-1322,J,2,#6]'</f>
        <v>0</v>
      </c>
      <c r="M11" s="76">
        <f>[1]!'@CTA[8-2-6-1-3-1322,J,2,#6]'</f>
        <v>0</v>
      </c>
      <c r="N11" s="74">
        <f>[1]!'@CTA[8-2-7-1-3-1322,F,2,#6]'</f>
        <v>3.637978807091713E-12</v>
      </c>
      <c r="O11" s="66">
        <f t="shared" si="2"/>
        <v>17504</v>
      </c>
    </row>
    <row r="12" spans="1:15" ht="108" x14ac:dyDescent="0.2">
      <c r="A12" s="67" t="s">
        <v>148</v>
      </c>
      <c r="B12" s="61" t="s">
        <v>152</v>
      </c>
      <c r="C12" s="61" t="s">
        <v>149</v>
      </c>
      <c r="D12" s="62" t="s">
        <v>150</v>
      </c>
      <c r="E12" s="71" t="s">
        <v>153</v>
      </c>
      <c r="F12" s="72">
        <v>1323</v>
      </c>
      <c r="G12" s="73" t="s">
        <v>160</v>
      </c>
      <c r="H12" s="74">
        <f>[1]!'@CTA[8-2-1-1-3-1323,F,2,#6]'</f>
        <v>66833</v>
      </c>
      <c r="I12" s="74">
        <f>[1]!'@CTA[8-2-3-1-3-1323,F,2,#6]'</f>
        <v>0</v>
      </c>
      <c r="J12" s="75">
        <f>[1]!'@CTA[8-2-1-1-3-1323,F,2,#6]'+[1]!'@CTA[8-2-3-1-3-1323,F,2,#6]'</f>
        <v>66833</v>
      </c>
      <c r="K12" s="76">
        <f>[1]!'@CTA[8-2-4-1-3-1323,J,2,#6]'</f>
        <v>0</v>
      </c>
      <c r="L12" s="76">
        <f>[1]!'@CTA[8-2-5-1-3-1323,J,2,#6]'</f>
        <v>0</v>
      </c>
      <c r="M12" s="76">
        <f>[1]!'@CTA[8-2-6-1-3-1323,J,2,#6]'</f>
        <v>0</v>
      </c>
      <c r="N12" s="74">
        <f>[1]!'@CTA[8-2-7-1-3-1323,F,2,#6]'</f>
        <v>-1.4551915228366852E-11</v>
      </c>
      <c r="O12" s="66">
        <f t="shared" si="2"/>
        <v>66833</v>
      </c>
    </row>
    <row r="13" spans="1:15" ht="108" x14ac:dyDescent="0.2">
      <c r="A13" s="67" t="s">
        <v>148</v>
      </c>
      <c r="B13" s="61" t="s">
        <v>152</v>
      </c>
      <c r="C13" s="61" t="s">
        <v>149</v>
      </c>
      <c r="D13" s="62" t="s">
        <v>150</v>
      </c>
      <c r="E13" s="71" t="s">
        <v>153</v>
      </c>
      <c r="F13" s="72">
        <v>1331</v>
      </c>
      <c r="G13" s="73" t="s">
        <v>161</v>
      </c>
      <c r="H13" s="74">
        <f>[1]!'@CTA[8-2-1-1-3-1331,F,2,#6]'</f>
        <v>0</v>
      </c>
      <c r="I13" s="74">
        <f>[1]!'@CTA[8-2-3-1-3-1331,F,2,#6]'</f>
        <v>0</v>
      </c>
      <c r="J13" s="75">
        <f>[1]!'@CTA[8-2-1-1-3-1331,F,2,#6]'+[1]!'@CTA[8-2-3-1-3-1331,F,2,#6]'</f>
        <v>0</v>
      </c>
      <c r="K13" s="76">
        <f>[1]!'@CTA[8-2-4-1-3-1331,J,2,#6]'</f>
        <v>0</v>
      </c>
      <c r="L13" s="76">
        <f>[1]!'@CTA[8-2-5-1-3-1331,J,2,#6]'</f>
        <v>0</v>
      </c>
      <c r="M13" s="76">
        <f>[1]!'@CTA[8-2-6-1-3-1331,J,2,#6]'</f>
        <v>0</v>
      </c>
      <c r="N13" s="74">
        <f>[1]!'@CTA[8-2-7-1-3-1331,F,2,#6]'</f>
        <v>0</v>
      </c>
      <c r="O13" s="66">
        <f t="shared" si="2"/>
        <v>0</v>
      </c>
    </row>
    <row r="14" spans="1:15" ht="108" x14ac:dyDescent="0.2">
      <c r="A14" s="67" t="s">
        <v>148</v>
      </c>
      <c r="B14" s="61" t="s">
        <v>152</v>
      </c>
      <c r="C14" s="61" t="s">
        <v>149</v>
      </c>
      <c r="D14" s="62" t="s">
        <v>150</v>
      </c>
      <c r="E14" s="71" t="s">
        <v>153</v>
      </c>
      <c r="F14" s="72">
        <v>1341</v>
      </c>
      <c r="G14" s="73" t="s">
        <v>162</v>
      </c>
      <c r="H14" s="74">
        <f>[1]!'@CTA[8-2-1-1-3-1341,F,2,#6]'</f>
        <v>15913</v>
      </c>
      <c r="I14" s="74">
        <f>[1]!'@CTA[8-2-3-1-3-1341,F,2,#6]'</f>
        <v>0</v>
      </c>
      <c r="J14" s="75">
        <f>[1]!'@CTA[8-2-1-1-3-1341,F,2,#6]'+[1]!'@CTA[8-2-3-1-3-1341,F,2,#6]'</f>
        <v>15913</v>
      </c>
      <c r="K14" s="76">
        <f>[1]!'@CTA[8-2-4-1-3-1341,J,2,#6]'</f>
        <v>0</v>
      </c>
      <c r="L14" s="76">
        <f>[1]!'@CTA[8-2-5-1-3-1341,J,2,#6]'</f>
        <v>0</v>
      </c>
      <c r="M14" s="76">
        <f>[1]!'@CTA[8-2-6-1-3-1341,J,2,#6]'</f>
        <v>0</v>
      </c>
      <c r="N14" s="74">
        <f>[1]!'@CTA[8-2-7-1-3-1341,F,2,#6]'</f>
        <v>0</v>
      </c>
      <c r="O14" s="66">
        <f t="shared" si="2"/>
        <v>15913</v>
      </c>
    </row>
    <row r="15" spans="1:15" ht="108" x14ac:dyDescent="0.2">
      <c r="A15" s="67" t="s">
        <v>148</v>
      </c>
      <c r="B15" s="61" t="s">
        <v>163</v>
      </c>
      <c r="C15" s="61" t="s">
        <v>149</v>
      </c>
      <c r="D15" s="62" t="s">
        <v>150</v>
      </c>
      <c r="E15" s="71" t="s">
        <v>164</v>
      </c>
      <c r="F15" s="72">
        <v>1411</v>
      </c>
      <c r="G15" s="73" t="s">
        <v>165</v>
      </c>
      <c r="H15" s="74">
        <f>[1]!'@CTA[8-2-1-1-4-1411,F,2,#6]'</f>
        <v>24155</v>
      </c>
      <c r="I15" s="74">
        <f>[1]!'@CTA[8-2-3-1-4-1411,F,2,#6]'</f>
        <v>4748.03</v>
      </c>
      <c r="J15" s="75">
        <f>[1]!'@CTA[8-2-1-1-4-1411,F,2,#6]'+[1]!'@CTA[8-2-3-1-4-1411,F,2,#6]'</f>
        <v>28903.03</v>
      </c>
      <c r="K15" s="76">
        <f>[1]!'@CTA[8-2-4-1-4-1411,J,2,#6]'</f>
        <v>14452.44</v>
      </c>
      <c r="L15" s="76">
        <f>[1]!'@CTA[8-2-5-1-4-1411,J,2,#6]'</f>
        <v>14452.44</v>
      </c>
      <c r="M15" s="76">
        <f>[1]!'@CTA[8-2-6-1-4-1411,J,2,#6]'</f>
        <v>14452.44</v>
      </c>
      <c r="N15" s="74">
        <f>[1]!'@CTA[8-2-7-1-4-1411,F,2,#6]'</f>
        <v>9563.5399999999936</v>
      </c>
      <c r="O15" s="66">
        <f t="shared" si="2"/>
        <v>14450.589999999998</v>
      </c>
    </row>
    <row r="16" spans="1:15" ht="108" x14ac:dyDescent="0.2">
      <c r="A16" s="67" t="s">
        <v>148</v>
      </c>
      <c r="B16" s="61" t="s">
        <v>163</v>
      </c>
      <c r="C16" s="61" t="s">
        <v>149</v>
      </c>
      <c r="D16" s="62" t="s">
        <v>150</v>
      </c>
      <c r="E16" s="71" t="s">
        <v>164</v>
      </c>
      <c r="F16" s="72">
        <v>1421</v>
      </c>
      <c r="G16" s="73" t="s">
        <v>166</v>
      </c>
      <c r="H16" s="74">
        <f>[1]!'@CTA[8-2-1-1-4-1421,F,2,#6]'</f>
        <v>12098</v>
      </c>
      <c r="I16" s="74">
        <f>[1]!'@CTA[8-2-3-1-4-1421,F,2,#6]'</f>
        <v>6174.64</v>
      </c>
      <c r="J16" s="75">
        <f>[1]!'@CTA[8-2-1-1-4-1421,F,2,#6]'+[1]!'@CTA[8-2-3-1-4-1421,F,2,#6]'</f>
        <v>18272.64</v>
      </c>
      <c r="K16" s="76">
        <f>[1]!'@CTA[8-2-4-1-4-1421,J,2,#6]'</f>
        <v>6369.79</v>
      </c>
      <c r="L16" s="76">
        <f>[1]!'@CTA[8-2-5-1-4-1421,J,2,#6]'</f>
        <v>6369.79</v>
      </c>
      <c r="M16" s="76">
        <f>[1]!'@CTA[8-2-6-1-4-1421,J,2,#6]'</f>
        <v>6369.79</v>
      </c>
      <c r="N16" s="74">
        <f>[1]!'@CTA[8-2-7-1-4-1421,F,2,#6]'</f>
        <v>6369.7900000000072</v>
      </c>
      <c r="O16" s="66">
        <f t="shared" si="2"/>
        <v>11902.849999999999</v>
      </c>
    </row>
    <row r="17" spans="1:15" ht="108" x14ac:dyDescent="0.2">
      <c r="A17" s="67" t="s">
        <v>148</v>
      </c>
      <c r="B17" s="61" t="s">
        <v>163</v>
      </c>
      <c r="C17" s="61" t="s">
        <v>149</v>
      </c>
      <c r="D17" s="62" t="s">
        <v>150</v>
      </c>
      <c r="E17" s="71" t="s">
        <v>164</v>
      </c>
      <c r="F17" s="72">
        <v>1431</v>
      </c>
      <c r="G17" s="73" t="s">
        <v>167</v>
      </c>
      <c r="H17" s="74">
        <f>[1]!'@CTA[8-2-1-1-4-1431,F,2,#6]'</f>
        <v>12460</v>
      </c>
      <c r="I17" s="74">
        <f>[1]!'@CTA[8-2-3-1-4-1431,F,2,#6]'</f>
        <v>6359.87</v>
      </c>
      <c r="J17" s="75">
        <f>[1]!'@CTA[8-2-1-1-4-1431,F,2,#6]'+[1]!'@CTA[8-2-3-1-4-1431,F,2,#6]'</f>
        <v>18819.87</v>
      </c>
      <c r="K17" s="76">
        <f>[1]!'@CTA[8-2-4-1-4-1431,J,2,#6]'</f>
        <v>6560.89</v>
      </c>
      <c r="L17" s="76">
        <f>[1]!'@CTA[8-2-5-1-4-1431,J,2,#6]'</f>
        <v>6560.89</v>
      </c>
      <c r="M17" s="76">
        <f>[1]!'@CTA[8-2-6-1-4-1431,J,2,#6]'</f>
        <v>6560.89</v>
      </c>
      <c r="N17" s="74">
        <f>[1]!'@CTA[8-2-7-1-4-1431,F,2,#6]'</f>
        <v>6560.8899999999931</v>
      </c>
      <c r="O17" s="66">
        <f t="shared" si="2"/>
        <v>12258.98</v>
      </c>
    </row>
    <row r="18" spans="1:15" ht="108" x14ac:dyDescent="0.2">
      <c r="A18" s="67" t="s">
        <v>148</v>
      </c>
      <c r="B18" s="61" t="s">
        <v>163</v>
      </c>
      <c r="C18" s="61" t="s">
        <v>149</v>
      </c>
      <c r="D18" s="62" t="s">
        <v>150</v>
      </c>
      <c r="E18" s="71" t="s">
        <v>164</v>
      </c>
      <c r="F18" s="72">
        <v>1441</v>
      </c>
      <c r="G18" s="73" t="s">
        <v>168</v>
      </c>
      <c r="H18" s="74">
        <f>[1]!'@CTA[8-2-1-1-4-1441,F,2,#6]'</f>
        <v>3285</v>
      </c>
      <c r="I18" s="74">
        <f>[1]!'@CTA[8-2-3-1-4-1441,F,2,#6]'</f>
        <v>0</v>
      </c>
      <c r="J18" s="75">
        <f>[1]!'@CTA[8-2-1-1-4-1441,F,2,#6]'+[1]!'@CTA[8-2-3-1-4-1441,F,2,#6]'</f>
        <v>3285</v>
      </c>
      <c r="K18" s="76">
        <f>[1]!'@CTA[8-2-4-1-4-1441,J,2,#6]'</f>
        <v>779.99</v>
      </c>
      <c r="L18" s="76">
        <f>[1]!'@CTA[8-2-5-1-4-1441,J,2,#6]'</f>
        <v>779.99</v>
      </c>
      <c r="M18" s="76">
        <f>[1]!'@CTA[8-2-6-1-4-1441,J,2,#6]'</f>
        <v>779.99</v>
      </c>
      <c r="N18" s="74">
        <f>[1]!'@CTA[8-2-7-1-4-1441,F,2,#6]'</f>
        <v>779.98999999999955</v>
      </c>
      <c r="O18" s="66">
        <f t="shared" si="2"/>
        <v>2505.0100000000002</v>
      </c>
    </row>
    <row r="19" spans="1:15" ht="108" x14ac:dyDescent="0.2">
      <c r="A19" s="67" t="s">
        <v>148</v>
      </c>
      <c r="B19" s="61" t="s">
        <v>169</v>
      </c>
      <c r="C19" s="61" t="s">
        <v>149</v>
      </c>
      <c r="D19" s="62" t="s">
        <v>150</v>
      </c>
      <c r="E19" s="71" t="s">
        <v>153</v>
      </c>
      <c r="F19" s="72">
        <v>1521</v>
      </c>
      <c r="G19" s="73" t="s">
        <v>170</v>
      </c>
      <c r="H19" s="74">
        <f>[1]!'@CTA[8-2-1-1-5-1521,F,2,#6]'</f>
        <v>0</v>
      </c>
      <c r="I19" s="74">
        <f>[1]!'@CTA[8-2-3-1-5-1521,F,2,#6]'</f>
        <v>0</v>
      </c>
      <c r="J19" s="75">
        <f>[1]!'@CTA[8-2-1-1-5-1521,F,2,#6]'+[1]!'@CTA[8-2-3-1-5-1521,F,2,#6]'</f>
        <v>0</v>
      </c>
      <c r="K19" s="76">
        <f>[1]!'@CTA[8-2-4-1-5-1521,J,2,#6]'</f>
        <v>0</v>
      </c>
      <c r="L19" s="76">
        <f>[1]!'@CTA[8-2-5-1-5-1521,J,2,#6]'</f>
        <v>0</v>
      </c>
      <c r="M19" s="76">
        <f>[1]!'@CTA[8-2-6-1-5-1521,J,2,#6]'</f>
        <v>0</v>
      </c>
      <c r="N19" s="74">
        <f>[1]!'@CTA[8-2-7-1-5-1521,F,2,#6]'</f>
        <v>0</v>
      </c>
      <c r="O19" s="66">
        <f t="shared" si="2"/>
        <v>0</v>
      </c>
    </row>
    <row r="20" spans="1:15" ht="108" x14ac:dyDescent="0.2">
      <c r="A20" s="67" t="s">
        <v>148</v>
      </c>
      <c r="B20" s="61" t="s">
        <v>152</v>
      </c>
      <c r="C20" s="61" t="s">
        <v>149</v>
      </c>
      <c r="D20" s="62" t="s">
        <v>150</v>
      </c>
      <c r="E20" s="71" t="s">
        <v>153</v>
      </c>
      <c r="F20" s="72">
        <v>1522</v>
      </c>
      <c r="G20" s="73" t="s">
        <v>171</v>
      </c>
      <c r="H20" s="74">
        <f>[1]!'@CTA[8-2-1-1-5-1522,F,2,#6]'</f>
        <v>0</v>
      </c>
      <c r="I20" s="74">
        <f>[1]!'@CTA[8-2-3-1-5-1522,F,2,#6]'</f>
        <v>0</v>
      </c>
      <c r="J20" s="75">
        <f>[1]!'@CTA[8-2-1-1-5-1522,F,2,#6]'+[1]!'@CTA[8-2-3-1-5-1522,F,2,#6]'</f>
        <v>0</v>
      </c>
      <c r="K20" s="76">
        <f>[1]!'@CTA[8-2-4-1-5-1522,J,2,#6]'</f>
        <v>0</v>
      </c>
      <c r="L20" s="76">
        <f>[1]!'@CTA[8-2-5-1-5-1522,J,2,#6]'</f>
        <v>0</v>
      </c>
      <c r="M20" s="76">
        <f>[1]!'@CTA[8-2-6-1-5-1522,J,2,#6]'</f>
        <v>0</v>
      </c>
      <c r="N20" s="74">
        <f>[1]!'@CTA[8-2-7-1-5-1522,F,2,#6]'</f>
        <v>0</v>
      </c>
      <c r="O20" s="66">
        <f t="shared" si="2"/>
        <v>0</v>
      </c>
    </row>
    <row r="21" spans="1:15" ht="108" x14ac:dyDescent="0.2">
      <c r="A21" s="67" t="s">
        <v>148</v>
      </c>
      <c r="B21" s="61" t="s">
        <v>152</v>
      </c>
      <c r="C21" s="61" t="s">
        <v>149</v>
      </c>
      <c r="D21" s="62" t="s">
        <v>150</v>
      </c>
      <c r="E21" s="71" t="s">
        <v>153</v>
      </c>
      <c r="F21" s="72">
        <v>1541</v>
      </c>
      <c r="G21" s="73" t="s">
        <v>172</v>
      </c>
      <c r="H21" s="74">
        <f>[1]!'@CTA[8-2-1-1-5-1541,F,2,#6]'</f>
        <v>116098</v>
      </c>
      <c r="I21" s="74">
        <f>[1]!'@CTA[8-2-3-1-5-1541,F,2,#6]'</f>
        <v>0</v>
      </c>
      <c r="J21" s="75">
        <f>[1]!'@CTA[8-2-1-1-5-1541,F,2,#6]'+[1]!'@CTA[8-2-3-1-5-1541,F,2,#6]'</f>
        <v>116098</v>
      </c>
      <c r="K21" s="76">
        <f>[1]!'@CTA[8-2-4-1-5-1541,J,2,#6]'</f>
        <v>31926.840000000004</v>
      </c>
      <c r="L21" s="76">
        <f>[1]!'@CTA[8-2-5-1-5-1541,J,2,#6]'</f>
        <v>31926.840000000004</v>
      </c>
      <c r="M21" s="76">
        <f>[1]!'@CTA[8-2-6-1-5-1541,J,2,#6]'</f>
        <v>31926.840000000004</v>
      </c>
      <c r="N21" s="74">
        <f>[1]!'@CTA[8-2-7-1-5-1541,F,2,#6]'</f>
        <v>31926.839999999989</v>
      </c>
      <c r="O21" s="66">
        <f t="shared" si="2"/>
        <v>84171.16</v>
      </c>
    </row>
    <row r="22" spans="1:15" ht="108" x14ac:dyDescent="0.2">
      <c r="A22" s="67" t="s">
        <v>148</v>
      </c>
      <c r="B22" s="61" t="s">
        <v>152</v>
      </c>
      <c r="C22" s="61" t="s">
        <v>149</v>
      </c>
      <c r="D22" s="62" t="s">
        <v>150</v>
      </c>
      <c r="E22" s="71" t="s">
        <v>153</v>
      </c>
      <c r="F22" s="72">
        <v>1542</v>
      </c>
      <c r="G22" s="73" t="s">
        <v>173</v>
      </c>
      <c r="H22" s="74">
        <f>[1]!'@CTA[8-2-1-1-5-1542,F,2,#6]'</f>
        <v>44555</v>
      </c>
      <c r="I22" s="74">
        <f>[1]!'@CTA[8-2-3-1-5-1542,F,2,#6]'</f>
        <v>0</v>
      </c>
      <c r="J22" s="75">
        <f>[1]!'@CTA[8-2-1-1-5-1542,F,2,#6]'+[1]!'@CTA[8-2-3-1-5-1542,F,2,#6]'</f>
        <v>44555</v>
      </c>
      <c r="K22" s="76">
        <f>[1]!'@CTA[8-2-4-1-5-1542,J,2,#6]'</f>
        <v>2059.12</v>
      </c>
      <c r="L22" s="76">
        <f>[1]!'@CTA[8-2-5-1-5-1542,J,2,#6]'</f>
        <v>2059.12</v>
      </c>
      <c r="M22" s="76">
        <f>[1]!'@CTA[8-2-6-1-5-1542,J,2,#6]'</f>
        <v>2059.12</v>
      </c>
      <c r="N22" s="74">
        <f>[1]!'@CTA[8-2-7-1-5-1542,F,2,#6]'</f>
        <v>1800.7899999999945</v>
      </c>
      <c r="O22" s="66">
        <f t="shared" si="2"/>
        <v>42495.88</v>
      </c>
    </row>
    <row r="23" spans="1:15" ht="108" x14ac:dyDescent="0.2">
      <c r="A23" s="67" t="s">
        <v>148</v>
      </c>
      <c r="B23" s="61" t="s">
        <v>152</v>
      </c>
      <c r="C23" s="61" t="s">
        <v>149</v>
      </c>
      <c r="D23" s="62" t="s">
        <v>150</v>
      </c>
      <c r="E23" s="71" t="s">
        <v>153</v>
      </c>
      <c r="F23" s="72">
        <v>1543</v>
      </c>
      <c r="G23" s="73" t="s">
        <v>174</v>
      </c>
      <c r="H23" s="74">
        <f>[1]!'@CTA[8-2-1-1-5-1543,F,2,#6]'</f>
        <v>0</v>
      </c>
      <c r="I23" s="74">
        <f>[1]!'@CTA[8-2-3-1-5-1543,F,2,#6]'</f>
        <v>0</v>
      </c>
      <c r="J23" s="75">
        <f>[1]!'@CTA[8-2-1-1-5-1543,F,2,#6]'+[1]!'@CTA[8-2-3-1-5-1543,F,2,#6]'</f>
        <v>0</v>
      </c>
      <c r="K23" s="76">
        <f>[1]!'@CTA[8-2-4-1-5-1543,J,2,#6]'</f>
        <v>0</v>
      </c>
      <c r="L23" s="76">
        <f>[1]!'@CTA[8-2-5-1-5-1543,J,2,#6]'</f>
        <v>0</v>
      </c>
      <c r="M23" s="76">
        <f>[1]!'@CTA[8-2-6-1-5-1543,J,2,#6]'</f>
        <v>0</v>
      </c>
      <c r="N23" s="74">
        <f>[1]!'@CTA[8-2-7-1-5-1543,F,2,#6]'</f>
        <v>0</v>
      </c>
      <c r="O23" s="66">
        <f t="shared" si="2"/>
        <v>0</v>
      </c>
    </row>
    <row r="24" spans="1:15" ht="108" x14ac:dyDescent="0.2">
      <c r="A24" s="67" t="s">
        <v>148</v>
      </c>
      <c r="B24" s="61" t="s">
        <v>152</v>
      </c>
      <c r="C24" s="61" t="s">
        <v>149</v>
      </c>
      <c r="D24" s="62" t="s">
        <v>150</v>
      </c>
      <c r="E24" s="71" t="s">
        <v>153</v>
      </c>
      <c r="F24" s="72">
        <v>1544</v>
      </c>
      <c r="G24" s="73" t="s">
        <v>175</v>
      </c>
      <c r="H24" s="74">
        <f>[1]!'@CTA[8-2-1-1-5-1544,F,2,#6]'</f>
        <v>0</v>
      </c>
      <c r="I24" s="74">
        <f>[1]!'@CTA[8-2-3-1-5-1544,F,2,#6]'</f>
        <v>0</v>
      </c>
      <c r="J24" s="75">
        <f>[1]!'@CTA[8-2-1-1-5-1544,F,2,#6]'+[1]!'@CTA[8-2-3-1-5-1544,F,2,#6]'</f>
        <v>0</v>
      </c>
      <c r="K24" s="76">
        <f>[1]!'@CTA[8-2-4-1-5-1544,J,2,#6]'</f>
        <v>0</v>
      </c>
      <c r="L24" s="76">
        <f>[1]!'@CTA[8-2-5-1-5-1544,J,2,#6]'</f>
        <v>0</v>
      </c>
      <c r="M24" s="76">
        <f>[1]!'@CTA[8-2-6-1-5-1544,J,2,#6]'</f>
        <v>0</v>
      </c>
      <c r="N24" s="74">
        <f>[1]!'@CTA[8-2-7-1-5-1544,F,2,#6]'</f>
        <v>0</v>
      </c>
      <c r="O24" s="66">
        <f t="shared" si="2"/>
        <v>0</v>
      </c>
    </row>
    <row r="25" spans="1:15" ht="108" x14ac:dyDescent="0.2">
      <c r="A25" s="67" t="s">
        <v>148</v>
      </c>
      <c r="B25" s="61"/>
      <c r="C25" s="61" t="s">
        <v>149</v>
      </c>
      <c r="D25" s="62" t="s">
        <v>150</v>
      </c>
      <c r="E25" s="61"/>
      <c r="F25" s="63">
        <v>2000</v>
      </c>
      <c r="G25" s="77" t="s">
        <v>176</v>
      </c>
      <c r="H25" s="69">
        <f t="shared" ref="H25:N25" si="4">SUBTOTAL(9,H26:H50)</f>
        <v>67217</v>
      </c>
      <c r="I25" s="69">
        <f t="shared" si="4"/>
        <v>2.0463630789890885E-12</v>
      </c>
      <c r="J25" s="69">
        <f t="shared" si="4"/>
        <v>67217</v>
      </c>
      <c r="K25" s="70">
        <f t="shared" si="4"/>
        <v>23466.940000000002</v>
      </c>
      <c r="L25" s="70">
        <f t="shared" si="4"/>
        <v>23466.940000000002</v>
      </c>
      <c r="M25" s="70">
        <f t="shared" si="4"/>
        <v>23466.940000000002</v>
      </c>
      <c r="N25" s="69">
        <f t="shared" si="4"/>
        <v>22885.330000000009</v>
      </c>
      <c r="O25" s="66">
        <f t="shared" si="2"/>
        <v>43750.06</v>
      </c>
    </row>
    <row r="26" spans="1:15" ht="108" x14ac:dyDescent="0.2">
      <c r="A26" s="67" t="s">
        <v>148</v>
      </c>
      <c r="B26" s="61" t="s">
        <v>152</v>
      </c>
      <c r="C26" s="61" t="s">
        <v>149</v>
      </c>
      <c r="D26" s="62" t="s">
        <v>150</v>
      </c>
      <c r="E26" s="71" t="s">
        <v>177</v>
      </c>
      <c r="F26" s="72">
        <v>2111</v>
      </c>
      <c r="G26" s="73" t="s">
        <v>178</v>
      </c>
      <c r="H26" s="74">
        <f>[1]!'@CTA[8-2-1-2-1-2111,F,2,#6]'</f>
        <v>11927</v>
      </c>
      <c r="I26" s="74">
        <f>[1]!'@CTA[8-2-3-2-1-2111,F,2,#6]'</f>
        <v>1.8189894035458565E-12</v>
      </c>
      <c r="J26" s="75">
        <f>[1]!'@CTA[8-2-1-2-1-2111,F,2,#6]'+[1]!'@CTA[8-2-3-2-1-2111,F,2,#6]'</f>
        <v>11927.000000000002</v>
      </c>
      <c r="K26" s="76">
        <f>[1]!'@CTA[8-2-4-2-1-2111,J,2,#6]'</f>
        <v>2211.7199999999998</v>
      </c>
      <c r="L26" s="76">
        <f>[1]!'@CTA[8-2-5-2-1-2111,J,2,#6]'</f>
        <v>2211.7199999999998</v>
      </c>
      <c r="M26" s="76">
        <f>[1]!'@CTA[8-2-6-2-1-2111,J,2,#6]'</f>
        <v>2211.7199999999998</v>
      </c>
      <c r="N26" s="74">
        <f>[1]!'@CTA[8-2-7-2-1-2111,F,2,#6]'</f>
        <v>2211.7199999999975</v>
      </c>
      <c r="O26" s="66">
        <f t="shared" si="2"/>
        <v>9715.2800000000025</v>
      </c>
    </row>
    <row r="27" spans="1:15" ht="108" x14ac:dyDescent="0.2">
      <c r="A27" s="67" t="s">
        <v>148</v>
      </c>
      <c r="B27" s="61" t="s">
        <v>152</v>
      </c>
      <c r="C27" s="61" t="s">
        <v>149</v>
      </c>
      <c r="D27" s="62" t="s">
        <v>150</v>
      </c>
      <c r="E27" s="71" t="s">
        <v>177</v>
      </c>
      <c r="F27" s="72">
        <v>2121</v>
      </c>
      <c r="G27" s="73" t="s">
        <v>179</v>
      </c>
      <c r="H27" s="74">
        <f>[1]!'@CTA[8-2-1-2-1-2121,F,2,#6]'</f>
        <v>1312</v>
      </c>
      <c r="I27" s="74">
        <f>[1]!'@CTA[8-2-3-2-1-2121,F,2,#6]'</f>
        <v>0</v>
      </c>
      <c r="J27" s="75">
        <f>[1]!'@CTA[8-2-1-2-1-2121,F,2,#6]'+[1]!'@CTA[8-2-3-2-1-2121,F,2,#6]'</f>
        <v>1312</v>
      </c>
      <c r="K27" s="76">
        <f>[1]!'@CTA[8-2-4-2-1-2121,J,2,#6]'</f>
        <v>380.53</v>
      </c>
      <c r="L27" s="76">
        <f>[1]!'@CTA[8-2-5-2-1-2121,J,2,#6]'</f>
        <v>380.53</v>
      </c>
      <c r="M27" s="76">
        <f>[1]!'@CTA[8-2-6-2-1-2121,J,2,#6]'</f>
        <v>380.53</v>
      </c>
      <c r="N27" s="74">
        <f>[1]!'@CTA[8-2-7-2-1-2121,F,2,#6]'</f>
        <v>380.52999999999986</v>
      </c>
      <c r="O27" s="66">
        <f t="shared" si="2"/>
        <v>931.47</v>
      </c>
    </row>
    <row r="28" spans="1:15" ht="108" x14ac:dyDescent="0.2">
      <c r="A28" s="67" t="s">
        <v>148</v>
      </c>
      <c r="B28" s="61" t="s">
        <v>152</v>
      </c>
      <c r="C28" s="61" t="s">
        <v>149</v>
      </c>
      <c r="D28" s="62" t="s">
        <v>150</v>
      </c>
      <c r="E28" s="71" t="s">
        <v>177</v>
      </c>
      <c r="F28" s="72">
        <v>2131</v>
      </c>
      <c r="G28" s="73" t="s">
        <v>180</v>
      </c>
      <c r="H28" s="74">
        <f>[1]!'@CTA[8-2-1-2-1-2131,F,2,#6]'</f>
        <v>0</v>
      </c>
      <c r="I28" s="74">
        <f>[1]!'@CTA[8-2-3-2-1-2131,F,2,#6]'</f>
        <v>0</v>
      </c>
      <c r="J28" s="75">
        <f>[1]!'@CTA[8-2-1-2-1-2131,F,2,#6]'+[1]!'@CTA[8-2-3-2-1-2131,F,2,#6]'</f>
        <v>0</v>
      </c>
      <c r="K28" s="76">
        <f>[1]!'@CTA[8-2-4-2-1-2131,J,2,#6]'</f>
        <v>0</v>
      </c>
      <c r="L28" s="76">
        <f>[1]!'@CTA[8-2-5-2-1-2131,J,2,#6]'</f>
        <v>0</v>
      </c>
      <c r="M28" s="76">
        <f>[1]!'@CTA[8-2-6-2-1-2131,J,2,#6]'</f>
        <v>0</v>
      </c>
      <c r="N28" s="74">
        <f>[1]!'@CTA[8-2-7-2-1-2131,F,2,#6]'</f>
        <v>0</v>
      </c>
      <c r="O28" s="66">
        <f t="shared" si="2"/>
        <v>0</v>
      </c>
    </row>
    <row r="29" spans="1:15" ht="108" x14ac:dyDescent="0.2">
      <c r="A29" s="67" t="s">
        <v>148</v>
      </c>
      <c r="B29" s="61" t="s">
        <v>152</v>
      </c>
      <c r="C29" s="61" t="s">
        <v>149</v>
      </c>
      <c r="D29" s="62" t="s">
        <v>150</v>
      </c>
      <c r="E29" s="71" t="s">
        <v>177</v>
      </c>
      <c r="F29" s="72">
        <v>2141</v>
      </c>
      <c r="G29" s="73" t="s">
        <v>181</v>
      </c>
      <c r="H29" s="74">
        <f>[1]!'@CTA[8-2-1-2-1-2141,F,2,#6]'</f>
        <v>0</v>
      </c>
      <c r="I29" s="74">
        <f>[1]!'@CTA[8-2-3-2-1-2141,F,2,#6]'</f>
        <v>2.2737367544323206E-13</v>
      </c>
      <c r="J29" s="75">
        <f>[1]!'@CTA[8-2-1-2-1-2141,F,2,#6]'+[1]!'@CTA[8-2-3-2-1-2141,F,2,#6]'</f>
        <v>2.2737367544323206E-13</v>
      </c>
      <c r="K29" s="76">
        <f>[1]!'@CTA[8-2-4-2-1-2141,J,2,#6]'</f>
        <v>0</v>
      </c>
      <c r="L29" s="76">
        <f>[1]!'@CTA[8-2-5-2-1-2141,J,2,#6]'</f>
        <v>0</v>
      </c>
      <c r="M29" s="76">
        <f>[1]!'@CTA[8-2-6-2-1-2141,J,2,#6]'</f>
        <v>0</v>
      </c>
      <c r="N29" s="74">
        <f>[1]!'@CTA[8-2-7-2-1-2141,F,2,#6]'</f>
        <v>0</v>
      </c>
      <c r="O29" s="66">
        <f t="shared" si="2"/>
        <v>2.2737367544323206E-13</v>
      </c>
    </row>
    <row r="30" spans="1:15" ht="108" x14ac:dyDescent="0.2">
      <c r="A30" s="67" t="s">
        <v>148</v>
      </c>
      <c r="B30" s="61" t="s">
        <v>152</v>
      </c>
      <c r="C30" s="61" t="s">
        <v>149</v>
      </c>
      <c r="D30" s="62" t="s">
        <v>150</v>
      </c>
      <c r="E30" s="71" t="s">
        <v>177</v>
      </c>
      <c r="F30" s="72">
        <v>2151</v>
      </c>
      <c r="G30" s="73" t="s">
        <v>182</v>
      </c>
      <c r="H30" s="74">
        <f>[1]!'@CTA[8-2-1-2-1-2151,F,2,#6]'</f>
        <v>0</v>
      </c>
      <c r="I30" s="74">
        <f>[1]!'@CTA[8-2-3-2-1-2151,F,2,#6]'</f>
        <v>0</v>
      </c>
      <c r="J30" s="75">
        <f>[1]!'@CTA[8-2-1-2-1-2151,F,2,#6]'+[1]!'@CTA[8-2-3-2-1-2151,F,2,#6]'</f>
        <v>0</v>
      </c>
      <c r="K30" s="76">
        <f>[1]!'@CTA[8-2-4-2-1-2151,J,2,#6]'</f>
        <v>0</v>
      </c>
      <c r="L30" s="76">
        <f>[1]!'@CTA[8-2-5-2-1-2151,J,2,#6]'</f>
        <v>0</v>
      </c>
      <c r="M30" s="76">
        <f>[1]!'@CTA[8-2-6-2-1-2151,J,2,#6]'</f>
        <v>0</v>
      </c>
      <c r="N30" s="74">
        <f>[1]!'@CTA[8-2-7-2-1-2151,F,2,#6]'</f>
        <v>0</v>
      </c>
      <c r="O30" s="66">
        <f t="shared" si="2"/>
        <v>0</v>
      </c>
    </row>
    <row r="31" spans="1:15" ht="108" x14ac:dyDescent="0.2">
      <c r="A31" s="67" t="s">
        <v>148</v>
      </c>
      <c r="B31" s="61" t="s">
        <v>152</v>
      </c>
      <c r="C31" s="61" t="s">
        <v>149</v>
      </c>
      <c r="D31" s="62" t="s">
        <v>150</v>
      </c>
      <c r="E31" s="71" t="s">
        <v>177</v>
      </c>
      <c r="F31" s="72">
        <v>2161</v>
      </c>
      <c r="G31" s="73" t="s">
        <v>183</v>
      </c>
      <c r="H31" s="74">
        <f>[1]!'@CTA[8-2-1-2-1-2161,F,2,#6]'</f>
        <v>0</v>
      </c>
      <c r="I31" s="74">
        <f>[1]!'@CTA[8-2-3-2-1-2161,F,2,#6]'</f>
        <v>0</v>
      </c>
      <c r="J31" s="75">
        <f>[1]!'@CTA[8-2-1-2-1-2161,F,2,#6]'+[1]!'@CTA[8-2-3-2-1-2161,F,2,#6]'</f>
        <v>0</v>
      </c>
      <c r="K31" s="76">
        <f>[1]!'@CTA[8-2-4-2-1-2161,J,2,#6]'</f>
        <v>9.0500000000000007</v>
      </c>
      <c r="L31" s="76">
        <f>[1]!'@CTA[8-2-5-2-1-2161,J,2,#6]'</f>
        <v>9.0500000000000007</v>
      </c>
      <c r="M31" s="76">
        <f>[1]!'@CTA[8-2-6-2-1-2161,J,2,#6]'</f>
        <v>9.0500000000000007</v>
      </c>
      <c r="N31" s="74">
        <f>[1]!'@CTA[8-2-7-2-1-2161,F,2,#6]'</f>
        <v>9.0499999999999936</v>
      </c>
      <c r="O31" s="66">
        <f t="shared" si="2"/>
        <v>-9.0500000000000007</v>
      </c>
    </row>
    <row r="32" spans="1:15" ht="108" x14ac:dyDescent="0.2">
      <c r="A32" s="67" t="s">
        <v>148</v>
      </c>
      <c r="B32" s="61" t="s">
        <v>152</v>
      </c>
      <c r="C32" s="61" t="s">
        <v>149</v>
      </c>
      <c r="D32" s="62" t="s">
        <v>150</v>
      </c>
      <c r="E32" s="71" t="s">
        <v>177</v>
      </c>
      <c r="F32" s="72">
        <v>2171</v>
      </c>
      <c r="G32" s="73" t="s">
        <v>184</v>
      </c>
      <c r="H32" s="74">
        <f>[1]!'@CTA[8-2-1-2-1-2171,F,2,#6]'</f>
        <v>0</v>
      </c>
      <c r="I32" s="74">
        <f>[1]!'@CTA[8-2-3-2-1-2171,F,2,#6]'</f>
        <v>0</v>
      </c>
      <c r="J32" s="75">
        <f>[1]!'@CTA[8-2-1-2-1-2171,F,2,#6]'+[1]!'@CTA[8-2-3-2-1-2171,F,2,#6]'</f>
        <v>0</v>
      </c>
      <c r="K32" s="76">
        <f>[1]!'@CTA[8-2-4-2-1-2171,J,2,#6]'</f>
        <v>0</v>
      </c>
      <c r="L32" s="76">
        <f>[1]!'@CTA[8-2-5-2-1-2171,J,2,#6]'</f>
        <v>0</v>
      </c>
      <c r="M32" s="76">
        <f>[1]!'@CTA[8-2-6-2-1-2171,J,2,#6]'</f>
        <v>0</v>
      </c>
      <c r="N32" s="74">
        <f>[1]!'@CTA[8-2-7-2-1-2171,F,2,#6]'</f>
        <v>0</v>
      </c>
      <c r="O32" s="66">
        <f t="shared" si="2"/>
        <v>0</v>
      </c>
    </row>
    <row r="33" spans="1:15" ht="108" x14ac:dyDescent="0.2">
      <c r="A33" s="67" t="s">
        <v>148</v>
      </c>
      <c r="B33" s="61" t="s">
        <v>152</v>
      </c>
      <c r="C33" s="61" t="s">
        <v>149</v>
      </c>
      <c r="D33" s="62" t="s">
        <v>150</v>
      </c>
      <c r="E33" s="71" t="s">
        <v>177</v>
      </c>
      <c r="F33" s="72">
        <v>2211</v>
      </c>
      <c r="G33" s="73" t="s">
        <v>185</v>
      </c>
      <c r="H33" s="74">
        <f>[1]!'@CTA[8-2-1-2-2-2211,F,2,#6]'</f>
        <v>0</v>
      </c>
      <c r="I33" s="74">
        <f>[1]!'@CTA[8-2-3-2-2-2211,F,2,#6]'</f>
        <v>0</v>
      </c>
      <c r="J33" s="75">
        <f>[1]!'@CTA[8-2-1-2-2-2211,F,2,#6]'+[1]!'@CTA[8-2-3-2-2-2211,F,2,#6]'</f>
        <v>0</v>
      </c>
      <c r="K33" s="76">
        <f>[1]!'@CTA[8-2-4-2-2-2211,J,2,#6]'</f>
        <v>0</v>
      </c>
      <c r="L33" s="76">
        <f>[1]!'@CTA[8-2-5-2-2-2211,J,2,#6]'</f>
        <v>0</v>
      </c>
      <c r="M33" s="76">
        <f>[1]!'@CTA[8-2-6-2-2-2211,J,2,#6]'</f>
        <v>0</v>
      </c>
      <c r="N33" s="74">
        <f>[1]!'@CTA[8-2-7-2-2-2211,F,2,#6]'</f>
        <v>0</v>
      </c>
      <c r="O33" s="66">
        <f t="shared" si="2"/>
        <v>0</v>
      </c>
    </row>
    <row r="34" spans="1:15" ht="108" x14ac:dyDescent="0.2">
      <c r="A34" s="67" t="s">
        <v>148</v>
      </c>
      <c r="B34" s="61" t="s">
        <v>152</v>
      </c>
      <c r="C34" s="61" t="s">
        <v>149</v>
      </c>
      <c r="D34" s="62" t="s">
        <v>150</v>
      </c>
      <c r="E34" s="71" t="s">
        <v>177</v>
      </c>
      <c r="F34" s="72">
        <v>2231</v>
      </c>
      <c r="G34" s="73" t="s">
        <v>186</v>
      </c>
      <c r="H34" s="74">
        <f>[1]!'@CTA[8-2-1-2-2-2231,F,2,#6]'</f>
        <v>8384</v>
      </c>
      <c r="I34" s="74">
        <f>[1]!'@CTA[8-2-3-2-2-2231,F,2,#6]'</f>
        <v>0</v>
      </c>
      <c r="J34" s="75">
        <f>[1]!'@CTA[8-2-1-2-2-2231,F,2,#6]'+[1]!'@CTA[8-2-3-2-2-2231,F,2,#6]'</f>
        <v>8384</v>
      </c>
      <c r="K34" s="76">
        <f>[1]!'@CTA[8-2-4-2-2-2231,J,2,#6]'</f>
        <v>6240.5700000000006</v>
      </c>
      <c r="L34" s="76">
        <f>[1]!'@CTA[8-2-5-2-2-2231,J,2,#6]'</f>
        <v>6240.5700000000006</v>
      </c>
      <c r="M34" s="76">
        <f>[1]!'@CTA[8-2-6-2-2-2231,J,2,#6]'</f>
        <v>6240.5700000000006</v>
      </c>
      <c r="N34" s="74">
        <f>[1]!'@CTA[8-2-7-2-2-2231,F,2,#6]'</f>
        <v>6181.3500000000022</v>
      </c>
      <c r="O34" s="66">
        <f t="shared" si="2"/>
        <v>2143.4299999999994</v>
      </c>
    </row>
    <row r="35" spans="1:15" ht="108" x14ac:dyDescent="0.2">
      <c r="A35" s="67" t="s">
        <v>148</v>
      </c>
      <c r="B35" s="61" t="s">
        <v>152</v>
      </c>
      <c r="C35" s="61" t="s">
        <v>149</v>
      </c>
      <c r="D35" s="62" t="s">
        <v>150</v>
      </c>
      <c r="E35" s="71" t="s">
        <v>177</v>
      </c>
      <c r="F35" s="72">
        <v>2411</v>
      </c>
      <c r="G35" s="73" t="s">
        <v>187</v>
      </c>
      <c r="H35" s="74">
        <f>[1]!'@CTA[8-2-1-2-4-2411,F,2,#6]'</f>
        <v>0</v>
      </c>
      <c r="I35" s="74">
        <f>[1]!'@CTA[8-2-3-2-4-2411,F,2,#6]'</f>
        <v>0</v>
      </c>
      <c r="J35" s="75">
        <f>[1]!'@CTA[8-2-1-2-4-2411,F,2,#6]'+[1]!'@CTA[8-2-3-2-4-2411,F,2,#6]'</f>
        <v>0</v>
      </c>
      <c r="K35" s="76">
        <f>[1]!'@CTA[8-2-4-2-4-2411,J,2,#6]'</f>
        <v>0</v>
      </c>
      <c r="L35" s="76">
        <f>[1]!'@CTA[8-2-5-2-4-2411,J,2,#6]'</f>
        <v>0</v>
      </c>
      <c r="M35" s="76">
        <f>[1]!'@CTA[8-2-6-2-4-2411,J,2,#6]'</f>
        <v>0</v>
      </c>
      <c r="N35" s="74">
        <f>[1]!'@CTA[8-2-7-2-4-2411,F,2,#6]'</f>
        <v>0</v>
      </c>
      <c r="O35" s="66">
        <f t="shared" si="2"/>
        <v>0</v>
      </c>
    </row>
    <row r="36" spans="1:15" ht="108" x14ac:dyDescent="0.2">
      <c r="A36" s="67" t="s">
        <v>148</v>
      </c>
      <c r="B36" s="61" t="s">
        <v>152</v>
      </c>
      <c r="C36" s="61" t="s">
        <v>149</v>
      </c>
      <c r="D36" s="62" t="s">
        <v>150</v>
      </c>
      <c r="E36" s="71" t="s">
        <v>177</v>
      </c>
      <c r="F36" s="72">
        <v>2461</v>
      </c>
      <c r="G36" s="73" t="s">
        <v>188</v>
      </c>
      <c r="H36" s="74">
        <f>[1]!'@CTA[8-2-1-2-4-2461,F,2,#6]'</f>
        <v>310</v>
      </c>
      <c r="I36" s="74">
        <f>[1]!'@CTA[8-2-3-2-4-2461,F,2,#6]'</f>
        <v>0</v>
      </c>
      <c r="J36" s="75">
        <f>[1]!'@CTA[8-2-1-2-4-2461,F,2,#6]'+[1]!'@CTA[8-2-3-2-4-2461,F,2,#6]'</f>
        <v>310</v>
      </c>
      <c r="K36" s="76">
        <f>[1]!'@CTA[8-2-4-2-4-2461,J,2,#6]'</f>
        <v>0</v>
      </c>
      <c r="L36" s="76">
        <f>[1]!'@CTA[8-2-5-2-4-2461,J,2,#6]'</f>
        <v>0</v>
      </c>
      <c r="M36" s="76">
        <f>[1]!'@CTA[8-2-6-2-4-2461,J,2,#6]'</f>
        <v>0</v>
      </c>
      <c r="N36" s="74">
        <f>[1]!'@CTA[8-2-7-2-4-2461,F,2,#6]'</f>
        <v>0</v>
      </c>
      <c r="O36" s="66">
        <f t="shared" si="2"/>
        <v>310</v>
      </c>
    </row>
    <row r="37" spans="1:15" ht="108" x14ac:dyDescent="0.2">
      <c r="A37" s="67" t="s">
        <v>148</v>
      </c>
      <c r="B37" s="61" t="s">
        <v>152</v>
      </c>
      <c r="C37" s="61" t="s">
        <v>149</v>
      </c>
      <c r="D37" s="62" t="s">
        <v>150</v>
      </c>
      <c r="E37" s="71" t="s">
        <v>177</v>
      </c>
      <c r="F37" s="72">
        <v>2471</v>
      </c>
      <c r="G37" s="73" t="s">
        <v>189</v>
      </c>
      <c r="H37" s="74">
        <f>[1]!'@CTA[8-2-1-2-4-2471,F,2,#6]'</f>
        <v>0</v>
      </c>
      <c r="I37" s="74">
        <f>[1]!'@CTA[8-2-3-2-4-2471,F,2,#6]'</f>
        <v>0</v>
      </c>
      <c r="J37" s="75">
        <f>[1]!'@CTA[8-2-1-2-4-2471,F,2,#6]'+[1]!'@CTA[8-2-3-2-4-2471,F,2,#6]'</f>
        <v>0</v>
      </c>
      <c r="K37" s="76">
        <f>[1]!'@CTA[8-2-4-2-4-2471,J,2,#6]'</f>
        <v>0</v>
      </c>
      <c r="L37" s="76">
        <f>[1]!'@CTA[8-2-5-2-4-2471,J,2,#6]'</f>
        <v>0</v>
      </c>
      <c r="M37" s="76">
        <f>[1]!'@CTA[8-2-6-2-4-2471,J,2,#6]'</f>
        <v>0</v>
      </c>
      <c r="N37" s="74">
        <f>[1]!'@CTA[8-2-7-2-4-2471,F,2,#6]'</f>
        <v>0</v>
      </c>
      <c r="O37" s="66">
        <f t="shared" si="2"/>
        <v>0</v>
      </c>
    </row>
    <row r="38" spans="1:15" ht="108" x14ac:dyDescent="0.2">
      <c r="A38" s="67" t="s">
        <v>148</v>
      </c>
      <c r="B38" s="61" t="s">
        <v>152</v>
      </c>
      <c r="C38" s="61" t="s">
        <v>149</v>
      </c>
      <c r="D38" s="62" t="s">
        <v>150</v>
      </c>
      <c r="E38" s="71" t="s">
        <v>177</v>
      </c>
      <c r="F38" s="72">
        <v>2481</v>
      </c>
      <c r="G38" s="73" t="s">
        <v>190</v>
      </c>
      <c r="H38" s="74">
        <f>[1]!'@CTA[8-2-1-2-4-2481,F,2,#6]'</f>
        <v>0</v>
      </c>
      <c r="I38" s="74">
        <f>[1]!'@CTA[8-2-3-2-4-2481,F,2,#6]'</f>
        <v>0</v>
      </c>
      <c r="J38" s="75">
        <f>[1]!'@CTA[8-2-1-2-4-2481,F,2,#6]'+[1]!'@CTA[8-2-3-2-4-2481,F,2,#6]'</f>
        <v>0</v>
      </c>
      <c r="K38" s="76">
        <f>[1]!'@CTA[8-2-4-2-4-2481,J,2,#6]'</f>
        <v>0</v>
      </c>
      <c r="L38" s="76">
        <f>[1]!'@CTA[8-2-5-2-4-2481,J,2,#6]'</f>
        <v>0</v>
      </c>
      <c r="M38" s="76">
        <f>[1]!'@CTA[8-2-6-2-4-2481,J,2,#6]'</f>
        <v>0</v>
      </c>
      <c r="N38" s="74">
        <f>[1]!'@CTA[8-2-7-2-4-2481,F,2,#6]'</f>
        <v>0</v>
      </c>
      <c r="O38" s="66">
        <f t="shared" si="2"/>
        <v>0</v>
      </c>
    </row>
    <row r="39" spans="1:15" ht="108" x14ac:dyDescent="0.2">
      <c r="A39" s="67" t="s">
        <v>148</v>
      </c>
      <c r="B39" s="61" t="s">
        <v>152</v>
      </c>
      <c r="C39" s="61" t="s">
        <v>149</v>
      </c>
      <c r="D39" s="62" t="s">
        <v>150</v>
      </c>
      <c r="E39" s="71" t="s">
        <v>177</v>
      </c>
      <c r="F39" s="72">
        <v>2491</v>
      </c>
      <c r="G39" s="73" t="s">
        <v>191</v>
      </c>
      <c r="H39" s="74">
        <f>[1]!'@CTA[8-2-1-2-4-2491,F,2,#6]'</f>
        <v>0</v>
      </c>
      <c r="I39" s="74">
        <f>[1]!'@CTA[8-2-3-2-4-2491,F,2,#6]'</f>
        <v>0</v>
      </c>
      <c r="J39" s="75">
        <f>[1]!'@CTA[8-2-1-2-4-2491,F,2,#6]'+[1]!'@CTA[8-2-3-2-4-2491,F,2,#6]'</f>
        <v>0</v>
      </c>
      <c r="K39" s="76">
        <f>[1]!'@CTA[8-2-4-2-4-2491,J,2,#6]'</f>
        <v>0</v>
      </c>
      <c r="L39" s="76">
        <f>[1]!'@CTA[8-2-5-2-4-2491,J,2,#6]'</f>
        <v>0</v>
      </c>
      <c r="M39" s="76">
        <f>[1]!'@CTA[8-2-6-2-4-2491,J,2,#6]'</f>
        <v>0</v>
      </c>
      <c r="N39" s="74">
        <f>[1]!'@CTA[8-2-7-2-4-2491,F,2,#6]'</f>
        <v>0</v>
      </c>
      <c r="O39" s="66">
        <f t="shared" si="2"/>
        <v>0</v>
      </c>
    </row>
    <row r="40" spans="1:15" ht="108" x14ac:dyDescent="0.2">
      <c r="A40" s="67" t="s">
        <v>148</v>
      </c>
      <c r="B40" s="61" t="s">
        <v>152</v>
      </c>
      <c r="C40" s="61" t="s">
        <v>149</v>
      </c>
      <c r="D40" s="62" t="s">
        <v>150</v>
      </c>
      <c r="E40" s="71" t="s">
        <v>177</v>
      </c>
      <c r="F40" s="72">
        <v>2492</v>
      </c>
      <c r="G40" s="73" t="s">
        <v>192</v>
      </c>
      <c r="H40" s="74">
        <f>[1]!'@CTA[8-2-1-2-4-2492,F,2,#6]'</f>
        <v>0</v>
      </c>
      <c r="I40" s="74">
        <f>[1]!'@CTA[8-2-3-2-4-2492,F,2,#6]'</f>
        <v>0</v>
      </c>
      <c r="J40" s="75">
        <f>[1]!'@CTA[8-2-1-2-4-2492,F,2,#6]'+[1]!'@CTA[8-2-3-2-4-2492,F,2,#6]'</f>
        <v>0</v>
      </c>
      <c r="K40" s="76">
        <f>[1]!'@CTA[8-2-4-2-4-2492,J,2,#6]'</f>
        <v>0</v>
      </c>
      <c r="L40" s="76">
        <f>[1]!'@CTA[8-2-5-2-4-2492,J,2,#6]'</f>
        <v>0</v>
      </c>
      <c r="M40" s="76">
        <f>[1]!'@CTA[8-2-6-2-4-2492,J,2,#6]'</f>
        <v>0</v>
      </c>
      <c r="N40" s="74">
        <f>[1]!'@CTA[8-2-7-2-4-2492,F,2,#6]'</f>
        <v>0</v>
      </c>
      <c r="O40" s="66">
        <f t="shared" si="2"/>
        <v>0</v>
      </c>
    </row>
    <row r="41" spans="1:15" ht="108" x14ac:dyDescent="0.2">
      <c r="A41" s="67" t="s">
        <v>148</v>
      </c>
      <c r="B41" s="61" t="s">
        <v>152</v>
      </c>
      <c r="C41" s="61" t="s">
        <v>149</v>
      </c>
      <c r="D41" s="62" t="s">
        <v>150</v>
      </c>
      <c r="E41" s="71" t="s">
        <v>177</v>
      </c>
      <c r="F41" s="72">
        <v>2531</v>
      </c>
      <c r="G41" s="73" t="s">
        <v>193</v>
      </c>
      <c r="H41" s="74">
        <f>[1]!'@CTA[8-2-1-2-5-2531,F,2,#6]'</f>
        <v>0</v>
      </c>
      <c r="I41" s="74">
        <f>[1]!'@CTA[8-2-3-2-5-2531,F,2,#6]'</f>
        <v>0</v>
      </c>
      <c r="J41" s="75">
        <f>[1]!'@CTA[8-2-1-2-5-2531,F,2,#6]'+[1]!'@CTA[8-2-3-2-5-2531,F,2,#6]'</f>
        <v>0</v>
      </c>
      <c r="K41" s="76">
        <f>[1]!'@CTA[8-2-4-2-5-2531,J,2,#6]'</f>
        <v>0</v>
      </c>
      <c r="L41" s="76">
        <f>[1]!'@CTA[8-2-5-2-5-2531,J,2,#6]'</f>
        <v>0</v>
      </c>
      <c r="M41" s="76">
        <f>[1]!'@CTA[8-2-6-2-5-2531,J,2,#6]'</f>
        <v>0</v>
      </c>
      <c r="N41" s="74">
        <f>[1]!'@CTA[8-2-7-2-5-2531,F,2,#6]'</f>
        <v>0</v>
      </c>
      <c r="O41" s="66">
        <f t="shared" si="2"/>
        <v>0</v>
      </c>
    </row>
    <row r="42" spans="1:15" ht="108" x14ac:dyDescent="0.2">
      <c r="A42" s="67" t="s">
        <v>148</v>
      </c>
      <c r="B42" s="61" t="s">
        <v>152</v>
      </c>
      <c r="C42" s="61" t="s">
        <v>149</v>
      </c>
      <c r="D42" s="62" t="s">
        <v>150</v>
      </c>
      <c r="E42" s="71" t="s">
        <v>177</v>
      </c>
      <c r="F42" s="72">
        <v>2551</v>
      </c>
      <c r="G42" s="73" t="s">
        <v>194</v>
      </c>
      <c r="H42" s="74">
        <f>[1]!'@CTA[8-2-1-2-5-2551,F,2,#6]'</f>
        <v>0</v>
      </c>
      <c r="I42" s="74">
        <f>[1]!'@CTA[8-2-3-2-5-2551,F,2,#6]'</f>
        <v>0</v>
      </c>
      <c r="J42" s="75">
        <f>[1]!'@CTA[8-2-1-2-5-2551,F,2,#6]'+[1]!'@CTA[8-2-3-2-5-2551,F,2,#6]'</f>
        <v>0</v>
      </c>
      <c r="K42" s="76">
        <f>[1]!'@CTA[8-2-4-2-5-2551,J,2,#6]'</f>
        <v>0</v>
      </c>
      <c r="L42" s="76">
        <f>[1]!'@CTA[8-2-5-2-5-2551,J,2,#6]'</f>
        <v>0</v>
      </c>
      <c r="M42" s="76">
        <f>[1]!'@CTA[8-2-6-2-5-2551,J,2,#6]'</f>
        <v>0</v>
      </c>
      <c r="N42" s="74">
        <f>[1]!'@CTA[8-2-7-2-5-2551,F,2,#6]'</f>
        <v>0</v>
      </c>
      <c r="O42" s="66">
        <f t="shared" si="2"/>
        <v>0</v>
      </c>
    </row>
    <row r="43" spans="1:15" ht="108" x14ac:dyDescent="0.2">
      <c r="A43" s="67" t="s">
        <v>148</v>
      </c>
      <c r="B43" s="61" t="s">
        <v>152</v>
      </c>
      <c r="C43" s="61" t="s">
        <v>149</v>
      </c>
      <c r="D43" s="62" t="s">
        <v>150</v>
      </c>
      <c r="E43" s="71" t="s">
        <v>177</v>
      </c>
      <c r="F43" s="72">
        <v>2591</v>
      </c>
      <c r="G43" s="73" t="s">
        <v>195</v>
      </c>
      <c r="H43" s="74">
        <f>[1]!'@CTA[8-2-1-2-5-2591,F,2,#6]'</f>
        <v>452</v>
      </c>
      <c r="I43" s="74">
        <f>[1]!'@CTA[8-2-3-2-5-2591,F,2,#6]'</f>
        <v>0</v>
      </c>
      <c r="J43" s="75">
        <f>[1]!'@CTA[8-2-1-2-5-2591,F,2,#6]'+[1]!'@CTA[8-2-3-2-5-2591,F,2,#6]'</f>
        <v>452</v>
      </c>
      <c r="K43" s="76">
        <f>[1]!'@CTA[8-2-4-2-5-2591,J,2,#6]'</f>
        <v>26.94</v>
      </c>
      <c r="L43" s="76">
        <f>[1]!'@CTA[8-2-5-2-5-2591,J,2,#6]'</f>
        <v>26.94</v>
      </c>
      <c r="M43" s="76">
        <f>[1]!'@CTA[8-2-6-2-5-2591,J,2,#6]'</f>
        <v>26.94</v>
      </c>
      <c r="N43" s="74">
        <f>[1]!'@CTA[8-2-7-2-5-2591,F,2,#6]'</f>
        <v>-2.1316282072803006E-14</v>
      </c>
      <c r="O43" s="66">
        <f t="shared" si="2"/>
        <v>425.06</v>
      </c>
    </row>
    <row r="44" spans="1:15" ht="108" x14ac:dyDescent="0.2">
      <c r="A44" s="67" t="s">
        <v>148</v>
      </c>
      <c r="B44" s="61" t="s">
        <v>152</v>
      </c>
      <c r="C44" s="61" t="s">
        <v>149</v>
      </c>
      <c r="D44" s="62" t="s">
        <v>150</v>
      </c>
      <c r="E44" s="71" t="s">
        <v>177</v>
      </c>
      <c r="F44" s="72">
        <v>2611</v>
      </c>
      <c r="G44" s="73" t="s">
        <v>196</v>
      </c>
      <c r="H44" s="74">
        <f>[1]!'@CTA[8-2-1-2-6-2611,F,2,#6]'</f>
        <v>31200</v>
      </c>
      <c r="I44" s="74">
        <f>[1]!'@CTA[8-2-3-2-6-2611,F,2,#6]'</f>
        <v>0</v>
      </c>
      <c r="J44" s="75">
        <f>[1]!'@CTA[8-2-1-2-6-2611,F,2,#6]'+[1]!'@CTA[8-2-3-2-6-2611,F,2,#6]'</f>
        <v>31200</v>
      </c>
      <c r="K44" s="76">
        <f>[1]!'@CTA[8-2-4-2-6-2611,J,2,#6]'</f>
        <v>5321.0499999999993</v>
      </c>
      <c r="L44" s="76">
        <f>[1]!'@CTA[8-2-5-2-6-2611,J,2,#6]'</f>
        <v>5321.0499999999993</v>
      </c>
      <c r="M44" s="76">
        <f>[1]!'@CTA[8-2-6-2-6-2611,J,2,#6]'</f>
        <v>5321.0499999999993</v>
      </c>
      <c r="N44" s="74">
        <f>[1]!'@CTA[8-2-7-2-6-2611,F,2,#6]'</f>
        <v>4825.6000000000076</v>
      </c>
      <c r="O44" s="66">
        <f t="shared" si="2"/>
        <v>25878.95</v>
      </c>
    </row>
    <row r="45" spans="1:15" ht="108" x14ac:dyDescent="0.2">
      <c r="A45" s="67" t="s">
        <v>148</v>
      </c>
      <c r="B45" s="61" t="s">
        <v>152</v>
      </c>
      <c r="C45" s="61" t="s">
        <v>149</v>
      </c>
      <c r="D45" s="62" t="s">
        <v>150</v>
      </c>
      <c r="E45" s="71" t="s">
        <v>177</v>
      </c>
      <c r="F45" s="72">
        <v>2612</v>
      </c>
      <c r="G45" s="73" t="s">
        <v>197</v>
      </c>
      <c r="H45" s="74">
        <f>[1]!'@CTA[8-2-1-2-6-2612,F,2,#6]'</f>
        <v>0</v>
      </c>
      <c r="I45" s="74">
        <f>[1]!'@CTA[8-2-3-2-6-2612,F,2,#6]'</f>
        <v>0</v>
      </c>
      <c r="J45" s="75">
        <f>[1]!'@CTA[8-2-1-2-6-2612,F,2,#6]'+[1]!'@CTA[8-2-3-2-6-2612,F,2,#6]'</f>
        <v>0</v>
      </c>
      <c r="K45" s="76">
        <f>[1]!'@CTA[8-2-4-2-6-2612,J,2,#6]'</f>
        <v>0</v>
      </c>
      <c r="L45" s="76">
        <f>[1]!'@CTA[8-2-5-2-6-2612,J,2,#6]'</f>
        <v>0</v>
      </c>
      <c r="M45" s="76">
        <f>[1]!'@CTA[8-2-6-2-6-2612,J,2,#6]'</f>
        <v>0</v>
      </c>
      <c r="N45" s="74">
        <f>[1]!'@CTA[8-2-7-2-6-2612,F,2,#6]'</f>
        <v>0</v>
      </c>
      <c r="O45" s="66">
        <f t="shared" si="2"/>
        <v>0</v>
      </c>
    </row>
    <row r="46" spans="1:15" ht="108" x14ac:dyDescent="0.2">
      <c r="A46" s="67" t="s">
        <v>148</v>
      </c>
      <c r="B46" s="61" t="s">
        <v>152</v>
      </c>
      <c r="C46" s="61" t="s">
        <v>149</v>
      </c>
      <c r="D46" s="62" t="s">
        <v>150</v>
      </c>
      <c r="E46" s="71" t="s">
        <v>177</v>
      </c>
      <c r="F46" s="72">
        <v>2711</v>
      </c>
      <c r="G46" s="73" t="s">
        <v>198</v>
      </c>
      <c r="H46" s="74">
        <f>[1]!'@CTA[8-2-1-2-7-2711,F,2,#6]'</f>
        <v>12000</v>
      </c>
      <c r="I46" s="74">
        <f>[1]!'@CTA[8-2-3-2-7-2711,F,2,#6]'</f>
        <v>0</v>
      </c>
      <c r="J46" s="75">
        <f>[1]!'@CTA[8-2-1-2-7-2711,F,2,#6]'+[1]!'@CTA[8-2-3-2-7-2711,F,2,#6]'</f>
        <v>12000</v>
      </c>
      <c r="K46" s="76">
        <f>[1]!'@CTA[8-2-4-2-7-2711,J,2,#6]'</f>
        <v>8689.68</v>
      </c>
      <c r="L46" s="76">
        <f>[1]!'@CTA[8-2-5-2-7-2711,J,2,#6]'</f>
        <v>8689.68</v>
      </c>
      <c r="M46" s="76">
        <f>[1]!'@CTA[8-2-6-2-7-2711,J,2,#6]'</f>
        <v>8689.68</v>
      </c>
      <c r="N46" s="74">
        <f>[1]!'@CTA[8-2-7-2-7-2711,F,2,#6]'</f>
        <v>8689.68</v>
      </c>
      <c r="O46" s="66">
        <f t="shared" si="2"/>
        <v>3310.3199999999997</v>
      </c>
    </row>
    <row r="47" spans="1:15" ht="108" x14ac:dyDescent="0.2">
      <c r="A47" s="67" t="s">
        <v>148</v>
      </c>
      <c r="B47" s="61" t="s">
        <v>152</v>
      </c>
      <c r="C47" s="61" t="s">
        <v>149</v>
      </c>
      <c r="D47" s="62" t="s">
        <v>150</v>
      </c>
      <c r="E47" s="71" t="s">
        <v>177</v>
      </c>
      <c r="F47" s="72">
        <v>2712</v>
      </c>
      <c r="G47" s="73" t="s">
        <v>199</v>
      </c>
      <c r="H47" s="74">
        <f>[1]!'@CTA[8-2-1-2-7-2712,F,2,#6]'</f>
        <v>1000</v>
      </c>
      <c r="I47" s="74">
        <f>[1]!'@CTA[8-2-3-2-7-2712,F,2,#6]'</f>
        <v>0</v>
      </c>
      <c r="J47" s="75">
        <f>[1]!'@CTA[8-2-1-2-7-2712,F,2,#6]'+[1]!'@CTA[8-2-3-2-7-2712,F,2,#6]'</f>
        <v>1000</v>
      </c>
      <c r="K47" s="76">
        <f>[1]!'@CTA[8-2-4-2-7-2712,J,2,#6]'</f>
        <v>587.4</v>
      </c>
      <c r="L47" s="76">
        <f>[1]!'@CTA[8-2-5-2-7-2712,J,2,#6]'</f>
        <v>587.4</v>
      </c>
      <c r="M47" s="76">
        <f>[1]!'@CTA[8-2-6-2-7-2712,J,2,#6]'</f>
        <v>587.4</v>
      </c>
      <c r="N47" s="74">
        <f>[1]!'@CTA[8-2-7-2-7-2712,F,2,#6]'</f>
        <v>587.4000000000002</v>
      </c>
      <c r="O47" s="66">
        <f t="shared" si="2"/>
        <v>412.6</v>
      </c>
    </row>
    <row r="48" spans="1:15" ht="108" x14ac:dyDescent="0.2">
      <c r="A48" s="67" t="s">
        <v>148</v>
      </c>
      <c r="B48" s="61" t="s">
        <v>152</v>
      </c>
      <c r="C48" s="61" t="s">
        <v>149</v>
      </c>
      <c r="D48" s="62" t="s">
        <v>150</v>
      </c>
      <c r="E48" s="71" t="s">
        <v>177</v>
      </c>
      <c r="F48" s="72">
        <v>2721</v>
      </c>
      <c r="G48" s="73" t="s">
        <v>200</v>
      </c>
      <c r="H48" s="74">
        <f>[1]!'@CTA[8-2-1-2-7-2721,F,2,#6]'</f>
        <v>0</v>
      </c>
      <c r="I48" s="74">
        <f>[1]!'@CTA[8-2-3-2-7-2721,F,2,#6]'</f>
        <v>0</v>
      </c>
      <c r="J48" s="75">
        <f>[1]!'@CTA[8-2-1-2-7-2721,F,2,#6]'+[1]!'@CTA[8-2-3-2-7-2721,F,2,#6]'</f>
        <v>0</v>
      </c>
      <c r="K48" s="76">
        <f>[1]!'@CTA[8-2-4-2-7-2721,J,2,#6]'</f>
        <v>0</v>
      </c>
      <c r="L48" s="76">
        <f>[1]!'@CTA[8-2-5-2-7-2721,J,2,#6]'</f>
        <v>0</v>
      </c>
      <c r="M48" s="76">
        <f>[1]!'@CTA[8-2-6-2-7-2721,J,2,#6]'</f>
        <v>0</v>
      </c>
      <c r="N48" s="74">
        <f>[1]!'@CTA[8-2-7-2-7-2721,F,2,#6]'</f>
        <v>0</v>
      </c>
      <c r="O48" s="66">
        <f t="shared" si="2"/>
        <v>0</v>
      </c>
    </row>
    <row r="49" spans="1:15" ht="108" x14ac:dyDescent="0.2">
      <c r="A49" s="67" t="s">
        <v>148</v>
      </c>
      <c r="B49" s="61" t="s">
        <v>152</v>
      </c>
      <c r="C49" s="61" t="s">
        <v>149</v>
      </c>
      <c r="D49" s="62" t="s">
        <v>150</v>
      </c>
      <c r="E49" s="71" t="s">
        <v>177</v>
      </c>
      <c r="F49" s="72">
        <v>2731</v>
      </c>
      <c r="G49" s="73" t="s">
        <v>201</v>
      </c>
      <c r="H49" s="74">
        <f>[1]!'@CTA[8-2-1-2-7-2731,F,2,#6]'</f>
        <v>0</v>
      </c>
      <c r="I49" s="74">
        <f>[1]!'@CTA[8-2-3-2-7-2731,F,2,#6]'</f>
        <v>0</v>
      </c>
      <c r="J49" s="75">
        <f>[1]!'@CTA[8-2-1-2-7-2731,F,2,#6]'+[1]!'@CTA[8-2-3-2-7-2731,F,2,#6]'</f>
        <v>0</v>
      </c>
      <c r="K49" s="76">
        <f>[1]!'@CTA[8-2-4-2-7-2731,J,2,#6]'</f>
        <v>0</v>
      </c>
      <c r="L49" s="76">
        <f>[1]!'@CTA[8-2-5-2-7-2731,J,2,#6]'</f>
        <v>0</v>
      </c>
      <c r="M49" s="76">
        <f>[1]!'@CTA[8-2-6-2-7-2731,J,2,#6]'</f>
        <v>0</v>
      </c>
      <c r="N49" s="74">
        <f>[1]!'@CTA[8-2-7-2-7-2731,F,2,#6]'</f>
        <v>0</v>
      </c>
      <c r="O49" s="66">
        <f t="shared" si="2"/>
        <v>0</v>
      </c>
    </row>
    <row r="50" spans="1:15" ht="108" x14ac:dyDescent="0.2">
      <c r="A50" s="67" t="s">
        <v>148</v>
      </c>
      <c r="B50" s="61" t="s">
        <v>152</v>
      </c>
      <c r="C50" s="61" t="s">
        <v>149</v>
      </c>
      <c r="D50" s="62" t="s">
        <v>150</v>
      </c>
      <c r="E50" s="71" t="s">
        <v>177</v>
      </c>
      <c r="F50" s="72">
        <v>2911</v>
      </c>
      <c r="G50" s="73" t="s">
        <v>202</v>
      </c>
      <c r="H50" s="74">
        <f>[1]!'@CTA[8-2-1-2-9-2911,F,2,#6]'</f>
        <v>632</v>
      </c>
      <c r="I50" s="74">
        <f>[1]!'@CTA[8-2-3-2-9-2911,F,2,#6]'</f>
        <v>0</v>
      </c>
      <c r="J50" s="75">
        <f>[1]!'@CTA[8-2-1-2-9-2911,F,2,#6]'+[1]!'@CTA[8-2-3-2-9-2911,F,2,#6]'</f>
        <v>632</v>
      </c>
      <c r="K50" s="76">
        <f>[1]!'@CTA[8-2-4-2-9-2911,J,2,#6]'</f>
        <v>0</v>
      </c>
      <c r="L50" s="76">
        <f>[1]!'@CTA[8-2-5-2-9-2911,J,2,#6]'</f>
        <v>0</v>
      </c>
      <c r="M50" s="76">
        <f>[1]!'@CTA[8-2-6-2-9-2911,J,2,#6]'</f>
        <v>0</v>
      </c>
      <c r="N50" s="74">
        <f>[1]!'@CTA[8-2-7-2-9-2911,F,2,#6]'</f>
        <v>-4.5474735088646412E-13</v>
      </c>
      <c r="O50" s="66">
        <f t="shared" si="2"/>
        <v>632</v>
      </c>
    </row>
    <row r="51" spans="1:15" ht="108" x14ac:dyDescent="0.2">
      <c r="A51" s="67" t="s">
        <v>148</v>
      </c>
      <c r="B51" s="61"/>
      <c r="C51" s="61" t="s">
        <v>149</v>
      </c>
      <c r="D51" s="62" t="s">
        <v>150</v>
      </c>
      <c r="E51" s="61"/>
      <c r="F51" s="63">
        <v>3000</v>
      </c>
      <c r="G51" s="77" t="s">
        <v>203</v>
      </c>
      <c r="H51" s="69">
        <f t="shared" ref="H51:N51" si="5">SUBTOTAL(9,H52:H101)</f>
        <v>1027391</v>
      </c>
      <c r="I51" s="69">
        <f t="shared" si="5"/>
        <v>3227.5200000000004</v>
      </c>
      <c r="J51" s="69">
        <f t="shared" si="5"/>
        <v>1030618.52</v>
      </c>
      <c r="K51" s="70">
        <f t="shared" si="5"/>
        <v>558219.47</v>
      </c>
      <c r="L51" s="70">
        <f t="shared" si="5"/>
        <v>558219.47</v>
      </c>
      <c r="M51" s="70">
        <f t="shared" si="5"/>
        <v>558219.47</v>
      </c>
      <c r="N51" s="69">
        <f t="shared" si="5"/>
        <v>556066.39999999991</v>
      </c>
      <c r="O51" s="66">
        <f t="shared" si="2"/>
        <v>472399.05000000005</v>
      </c>
    </row>
    <row r="52" spans="1:15" ht="108" x14ac:dyDescent="0.2">
      <c r="A52" s="67" t="s">
        <v>148</v>
      </c>
      <c r="B52" s="61" t="s">
        <v>152</v>
      </c>
      <c r="C52" s="61" t="s">
        <v>149</v>
      </c>
      <c r="D52" s="62" t="s">
        <v>150</v>
      </c>
      <c r="E52" s="71" t="s">
        <v>177</v>
      </c>
      <c r="F52" s="72">
        <v>3111</v>
      </c>
      <c r="G52" s="73" t="s">
        <v>204</v>
      </c>
      <c r="H52" s="74">
        <f>[1]!'@CTA[8-2-1-3-1-3111,F,2,#6]'</f>
        <v>5605</v>
      </c>
      <c r="I52" s="74">
        <f>[1]!'@CTA[8-2-3-3-1-3111,F,2,#6]'</f>
        <v>0</v>
      </c>
      <c r="J52" s="75">
        <f>[1]!'@CTA[8-2-1-3-1-3111,F,2,#6]'+[1]!'@CTA[8-2-3-3-1-3111,F,2,#6]'</f>
        <v>5605</v>
      </c>
      <c r="K52" s="76">
        <f>[1]!'@CTA[8-2-4-3-1-3111,J,2,#6]'</f>
        <v>2187.1799999999998</v>
      </c>
      <c r="L52" s="76">
        <f>[1]!'@CTA[8-2-5-3-1-3111,J,2,#6]'</f>
        <v>2187.1799999999998</v>
      </c>
      <c r="M52" s="76">
        <f>[1]!'@CTA[8-2-6-3-1-3111,J,2,#6]'</f>
        <v>2187.1799999999998</v>
      </c>
      <c r="N52" s="74">
        <f>[1]!'@CTA[8-2-7-3-1-3111,F,2,#6]'</f>
        <v>2187.1800000000007</v>
      </c>
      <c r="O52" s="66">
        <f t="shared" si="2"/>
        <v>3417.82</v>
      </c>
    </row>
    <row r="53" spans="1:15" ht="108" x14ac:dyDescent="0.2">
      <c r="A53" s="67" t="s">
        <v>148</v>
      </c>
      <c r="B53" s="61" t="s">
        <v>152</v>
      </c>
      <c r="C53" s="61" t="s">
        <v>149</v>
      </c>
      <c r="D53" s="62" t="s">
        <v>150</v>
      </c>
      <c r="E53" s="71" t="s">
        <v>177</v>
      </c>
      <c r="F53" s="72">
        <v>3131</v>
      </c>
      <c r="G53" s="73" t="s">
        <v>205</v>
      </c>
      <c r="H53" s="74">
        <f>[1]!'@CTA[8-2-1-3-1-3131,F,2,#6]'</f>
        <v>960</v>
      </c>
      <c r="I53" s="74">
        <f>[1]!'@CTA[8-2-3-3-1-3131,F,2,#6]'</f>
        <v>0</v>
      </c>
      <c r="J53" s="75">
        <f>[1]!'@CTA[8-2-1-3-1-3131,F,2,#6]'+[1]!'@CTA[8-2-3-3-1-3131,F,2,#6]'</f>
        <v>960</v>
      </c>
      <c r="K53" s="76">
        <f>[1]!'@CTA[8-2-4-3-1-3131,J,2,#6]'</f>
        <v>182.39000000000001</v>
      </c>
      <c r="L53" s="76">
        <f>[1]!'@CTA[8-2-5-3-1-3131,J,2,#6]'</f>
        <v>182.39000000000001</v>
      </c>
      <c r="M53" s="76">
        <f>[1]!'@CTA[8-2-6-3-1-3131,J,2,#6]'</f>
        <v>182.39000000000001</v>
      </c>
      <c r="N53" s="74">
        <f>[1]!'@CTA[8-2-7-3-1-3131,F,2,#6]'</f>
        <v>182.39000000000001</v>
      </c>
      <c r="O53" s="66">
        <f t="shared" si="2"/>
        <v>777.61</v>
      </c>
    </row>
    <row r="54" spans="1:15" ht="108" x14ac:dyDescent="0.2">
      <c r="A54" s="67" t="s">
        <v>148</v>
      </c>
      <c r="B54" s="61" t="s">
        <v>152</v>
      </c>
      <c r="C54" s="61" t="s">
        <v>149</v>
      </c>
      <c r="D54" s="62" t="s">
        <v>150</v>
      </c>
      <c r="E54" s="71" t="s">
        <v>177</v>
      </c>
      <c r="F54" s="72">
        <v>3141</v>
      </c>
      <c r="G54" s="73" t="s">
        <v>206</v>
      </c>
      <c r="H54" s="74">
        <f>[1]!'@CTA[8-2-1-3-1-3141,F,2,#6]'</f>
        <v>2940</v>
      </c>
      <c r="I54" s="74">
        <f>[1]!'@CTA[8-2-3-3-1-3141,F,2,#6]'</f>
        <v>466.93</v>
      </c>
      <c r="J54" s="75">
        <f>[1]!'@CTA[8-2-1-3-1-3141,F,2,#6]'+[1]!'@CTA[8-2-3-3-1-3141,F,2,#6]'</f>
        <v>3406.93</v>
      </c>
      <c r="K54" s="76">
        <f>[1]!'@CTA[8-2-4-3-1-3141,J,2,#6]'</f>
        <v>1091.02</v>
      </c>
      <c r="L54" s="76">
        <f>[1]!'@CTA[8-2-5-3-1-3141,J,2,#6]'</f>
        <v>1091.02</v>
      </c>
      <c r="M54" s="76">
        <f>[1]!'@CTA[8-2-6-3-1-3141,J,2,#6]'</f>
        <v>1091.02</v>
      </c>
      <c r="N54" s="74">
        <f>[1]!'@CTA[8-2-7-3-1-3141,F,2,#6]'</f>
        <v>950.6800000000004</v>
      </c>
      <c r="O54" s="66">
        <f t="shared" si="2"/>
        <v>2315.91</v>
      </c>
    </row>
    <row r="55" spans="1:15" ht="108" x14ac:dyDescent="0.2">
      <c r="A55" s="67" t="s">
        <v>148</v>
      </c>
      <c r="B55" s="61" t="s">
        <v>152</v>
      </c>
      <c r="C55" s="61" t="s">
        <v>149</v>
      </c>
      <c r="D55" s="62" t="s">
        <v>150</v>
      </c>
      <c r="E55" s="71" t="s">
        <v>177</v>
      </c>
      <c r="F55" s="72">
        <v>3161</v>
      </c>
      <c r="G55" s="73" t="s">
        <v>207</v>
      </c>
      <c r="H55" s="74">
        <f>[1]!'@CTA[8-2-1-3-1-3161,F,2,#6]'</f>
        <v>12000</v>
      </c>
      <c r="I55" s="74">
        <f>[1]!'@CTA[8-2-3-3-1-3161,F,2,#6]'</f>
        <v>441.31</v>
      </c>
      <c r="J55" s="75">
        <f>[1]!'@CTA[8-2-1-3-1-3161,F,2,#6]'+[1]!'@CTA[8-2-3-3-1-3161,F,2,#6]'</f>
        <v>12441.31</v>
      </c>
      <c r="K55" s="76">
        <f>[1]!'@CTA[8-2-4-3-1-3161,J,2,#6]'</f>
        <v>2098.9499999999998</v>
      </c>
      <c r="L55" s="76">
        <f>[1]!'@CTA[8-2-5-3-1-3161,J,2,#6]'</f>
        <v>2098.9499999999998</v>
      </c>
      <c r="M55" s="76">
        <f>[1]!'@CTA[8-2-6-3-1-3161,J,2,#6]'</f>
        <v>2098.9499999999998</v>
      </c>
      <c r="N55" s="74">
        <f>[1]!'@CTA[8-2-7-3-1-3161,F,2,#6]'</f>
        <v>2098.9500000000107</v>
      </c>
      <c r="O55" s="66">
        <f t="shared" si="2"/>
        <v>10342.36</v>
      </c>
    </row>
    <row r="56" spans="1:15" ht="108" x14ac:dyDescent="0.2">
      <c r="A56" s="67" t="s">
        <v>148</v>
      </c>
      <c r="B56" s="61" t="s">
        <v>152</v>
      </c>
      <c r="C56" s="61" t="s">
        <v>149</v>
      </c>
      <c r="D56" s="62" t="s">
        <v>150</v>
      </c>
      <c r="E56" s="71" t="s">
        <v>177</v>
      </c>
      <c r="F56" s="72">
        <v>3171</v>
      </c>
      <c r="G56" s="73" t="s">
        <v>208</v>
      </c>
      <c r="H56" s="74">
        <f>[1]!'@CTA[8-2-1-3-1-3171,F,2,#6]'</f>
        <v>655</v>
      </c>
      <c r="I56" s="74">
        <f>[1]!'@CTA[8-2-3-3-1-3171,F,2,#6]'</f>
        <v>0</v>
      </c>
      <c r="J56" s="75">
        <f>[1]!'@CTA[8-2-1-3-1-3171,F,2,#6]'+[1]!'@CTA[8-2-3-3-1-3171,F,2,#6]'</f>
        <v>655</v>
      </c>
      <c r="K56" s="76">
        <f>[1]!'@CTA[8-2-4-3-1-3171,J,2,#6]'</f>
        <v>0</v>
      </c>
      <c r="L56" s="76">
        <f>[1]!'@CTA[8-2-5-3-1-3171,J,2,#6]'</f>
        <v>0</v>
      </c>
      <c r="M56" s="76">
        <f>[1]!'@CTA[8-2-6-3-1-3171,J,2,#6]'</f>
        <v>0</v>
      </c>
      <c r="N56" s="74">
        <f>[1]!'@CTA[8-2-7-3-1-3171,F,2,#6]'</f>
        <v>0</v>
      </c>
      <c r="O56" s="66">
        <f t="shared" si="2"/>
        <v>655</v>
      </c>
    </row>
    <row r="57" spans="1:15" ht="108" x14ac:dyDescent="0.2">
      <c r="A57" s="67" t="s">
        <v>148</v>
      </c>
      <c r="B57" s="61" t="s">
        <v>152</v>
      </c>
      <c r="C57" s="61" t="s">
        <v>149</v>
      </c>
      <c r="D57" s="62" t="s">
        <v>150</v>
      </c>
      <c r="E57" s="71" t="s">
        <v>177</v>
      </c>
      <c r="F57" s="72">
        <v>3181</v>
      </c>
      <c r="G57" s="73" t="s">
        <v>209</v>
      </c>
      <c r="H57" s="74">
        <f>[1]!'@CTA[8-2-1-3-1-3181,F,2,#6]'</f>
        <v>0</v>
      </c>
      <c r="I57" s="74">
        <f>[1]!'@CTA[8-2-3-3-1-3181,F,2,#6]'</f>
        <v>0</v>
      </c>
      <c r="J57" s="75">
        <f>[1]!'@CTA[8-2-1-3-1-3181,F,2,#6]'+[1]!'@CTA[8-2-3-3-1-3181,F,2,#6]'</f>
        <v>0</v>
      </c>
      <c r="K57" s="76">
        <f>[1]!'@CTA[8-2-4-3-1-3181,J,2,#6]'</f>
        <v>0</v>
      </c>
      <c r="L57" s="76">
        <f>[1]!'@CTA[8-2-5-3-1-3181,J,2,#6]'</f>
        <v>0</v>
      </c>
      <c r="M57" s="76">
        <f>[1]!'@CTA[8-2-6-3-1-3181,J,2,#6]'</f>
        <v>0</v>
      </c>
      <c r="N57" s="74">
        <f>[1]!'@CTA[8-2-7-3-1-3181,F,2,#6]'</f>
        <v>0</v>
      </c>
      <c r="O57" s="66">
        <f t="shared" si="2"/>
        <v>0</v>
      </c>
    </row>
    <row r="58" spans="1:15" ht="108" x14ac:dyDescent="0.2">
      <c r="A58" s="67" t="s">
        <v>148</v>
      </c>
      <c r="B58" s="61" t="s">
        <v>152</v>
      </c>
      <c r="C58" s="61" t="s">
        <v>149</v>
      </c>
      <c r="D58" s="62" t="s">
        <v>150</v>
      </c>
      <c r="E58" s="71" t="s">
        <v>177</v>
      </c>
      <c r="F58" s="72">
        <v>3182</v>
      </c>
      <c r="G58" s="73" t="s">
        <v>210</v>
      </c>
      <c r="H58" s="74">
        <f>[1]!'@CTA[8-2-1-3-1-3182,F,2,#6]'</f>
        <v>0</v>
      </c>
      <c r="I58" s="74">
        <f>[1]!'@CTA[8-2-3-3-1-3182,F,2,#6]'</f>
        <v>0</v>
      </c>
      <c r="J58" s="75">
        <f>[1]!'@CTA[8-2-1-3-1-3182,F,2,#6]'+[1]!'@CTA[8-2-3-3-1-3182,F,2,#6]'</f>
        <v>0</v>
      </c>
      <c r="K58" s="76">
        <f>[1]!'@CTA[8-2-4-3-1-3182,J,2,#6]'</f>
        <v>0</v>
      </c>
      <c r="L58" s="76">
        <f>[1]!'@CTA[8-2-5-3-1-3182,J,2,#6]'</f>
        <v>0</v>
      </c>
      <c r="M58" s="76">
        <f>[1]!'@CTA[8-2-6-3-1-3182,J,2,#6]'</f>
        <v>0</v>
      </c>
      <c r="N58" s="74">
        <f>[1]!'@CTA[8-2-7-3-1-3182,F,2,#6]'</f>
        <v>0</v>
      </c>
      <c r="O58" s="66">
        <f t="shared" si="2"/>
        <v>0</v>
      </c>
    </row>
    <row r="59" spans="1:15" ht="108" x14ac:dyDescent="0.2">
      <c r="A59" s="67" t="s">
        <v>148</v>
      </c>
      <c r="B59" s="61" t="s">
        <v>152</v>
      </c>
      <c r="C59" s="61" t="s">
        <v>149</v>
      </c>
      <c r="D59" s="62" t="s">
        <v>150</v>
      </c>
      <c r="E59" s="71" t="s">
        <v>211</v>
      </c>
      <c r="F59" s="72">
        <v>3211</v>
      </c>
      <c r="G59" s="73" t="s">
        <v>212</v>
      </c>
      <c r="H59" s="74">
        <f>[1]!'@CTA[8-2-1-3-2-3211,F,2,#6]'</f>
        <v>0</v>
      </c>
      <c r="I59" s="74">
        <f>[1]!'@CTA[8-2-3-3-2-3211,F,2,#6]'</f>
        <v>0</v>
      </c>
      <c r="J59" s="75">
        <f>[1]!'@CTA[8-2-1-3-2-3211,F,2,#6]'+[1]!'@CTA[8-2-3-3-2-3211,F,2,#6]'</f>
        <v>0</v>
      </c>
      <c r="K59" s="76">
        <f>[1]!'@CTA[8-2-4-3-2-3211,J,2,#6]'</f>
        <v>0</v>
      </c>
      <c r="L59" s="76">
        <f>[1]!'@CTA[8-2-5-3-2-3211,J,2,#6]'</f>
        <v>0</v>
      </c>
      <c r="M59" s="76">
        <f>[1]!'@CTA[8-2-6-3-2-3211,J,2,#6]'</f>
        <v>0</v>
      </c>
      <c r="N59" s="74">
        <f>[1]!'@CTA[8-2-7-3-2-3211,F,2,#6]'</f>
        <v>0</v>
      </c>
      <c r="O59" s="66">
        <f t="shared" si="2"/>
        <v>0</v>
      </c>
    </row>
    <row r="60" spans="1:15" ht="108" x14ac:dyDescent="0.2">
      <c r="A60" s="67" t="s">
        <v>148</v>
      </c>
      <c r="B60" s="61" t="s">
        <v>152</v>
      </c>
      <c r="C60" s="61" t="s">
        <v>149</v>
      </c>
      <c r="D60" s="62" t="s">
        <v>150</v>
      </c>
      <c r="E60" s="71" t="s">
        <v>177</v>
      </c>
      <c r="F60" s="72">
        <v>3231</v>
      </c>
      <c r="G60" s="73" t="s">
        <v>213</v>
      </c>
      <c r="H60" s="74">
        <f>[1]!'@CTA[8-2-1-3-2-3231,F,2,#6]'</f>
        <v>0</v>
      </c>
      <c r="I60" s="74">
        <f>[1]!'@CTA[8-2-3-3-2-3231,F,2,#6]'</f>
        <v>0</v>
      </c>
      <c r="J60" s="75">
        <f>[1]!'@CTA[8-2-1-3-2-3231,F,2,#6]'+[1]!'@CTA[8-2-3-3-2-3231,F,2,#6]'</f>
        <v>0</v>
      </c>
      <c r="K60" s="76">
        <f>[1]!'@CTA[8-2-4-3-2-3231,J,2,#6]'</f>
        <v>0</v>
      </c>
      <c r="L60" s="76">
        <f>[1]!'@CTA[8-2-5-3-2-3231,J,2,#6]'</f>
        <v>0</v>
      </c>
      <c r="M60" s="76">
        <f>[1]!'@CTA[8-2-6-3-2-3231,J,2,#6]'</f>
        <v>0</v>
      </c>
      <c r="N60" s="74">
        <f>[1]!'@CTA[8-2-7-3-2-3231,F,2,#6]'</f>
        <v>0</v>
      </c>
      <c r="O60" s="66">
        <f t="shared" si="2"/>
        <v>0</v>
      </c>
    </row>
    <row r="61" spans="1:15" ht="108" x14ac:dyDescent="0.2">
      <c r="A61" s="67" t="s">
        <v>148</v>
      </c>
      <c r="B61" s="61" t="s">
        <v>152</v>
      </c>
      <c r="C61" s="61" t="s">
        <v>149</v>
      </c>
      <c r="D61" s="62" t="s">
        <v>150</v>
      </c>
      <c r="E61" s="71" t="s">
        <v>177</v>
      </c>
      <c r="F61" s="72">
        <v>3261</v>
      </c>
      <c r="G61" s="73" t="s">
        <v>214</v>
      </c>
      <c r="H61" s="74">
        <f>[1]!'@CTA[8-2-1-3-2-3261,F,2,#6]'</f>
        <v>0</v>
      </c>
      <c r="I61" s="74">
        <f>[1]!'@CTA[8-2-3-3-2-3261,F,2,#6]'</f>
        <v>0</v>
      </c>
      <c r="J61" s="75">
        <f>[1]!'@CTA[8-2-1-3-2-3261,F,2,#6]'+[1]!'@CTA[8-2-3-3-2-3261,F,2,#6]'</f>
        <v>0</v>
      </c>
      <c r="K61" s="76">
        <f>[1]!'@CTA[8-2-4-3-2-3261,J,2,#6]'</f>
        <v>0</v>
      </c>
      <c r="L61" s="76">
        <f>[1]!'@CTA[8-2-5-3-2-3261,J,2,#6]'</f>
        <v>0</v>
      </c>
      <c r="M61" s="76">
        <f>[1]!'@CTA[8-2-6-3-2-3261,J,2,#6]'</f>
        <v>0</v>
      </c>
      <c r="N61" s="74">
        <f>[1]!'@CTA[8-2-7-3-2-3261,F,2,#6]'</f>
        <v>0</v>
      </c>
      <c r="O61" s="66">
        <f t="shared" si="2"/>
        <v>0</v>
      </c>
    </row>
    <row r="62" spans="1:15" ht="108" x14ac:dyDescent="0.2">
      <c r="A62" s="67" t="s">
        <v>148</v>
      </c>
      <c r="B62" s="61" t="s">
        <v>152</v>
      </c>
      <c r="C62" s="61" t="s">
        <v>149</v>
      </c>
      <c r="D62" s="62" t="s">
        <v>150</v>
      </c>
      <c r="E62" s="71" t="s">
        <v>177</v>
      </c>
      <c r="F62" s="72">
        <v>3291</v>
      </c>
      <c r="G62" s="73" t="s">
        <v>215</v>
      </c>
      <c r="H62" s="74">
        <f>[1]!'@CTA[8-2-1-3-2-3291,F,2,#6]'</f>
        <v>0</v>
      </c>
      <c r="I62" s="74">
        <f>[1]!'@CTA[8-2-3-3-2-3291,F,2,#6]'</f>
        <v>0</v>
      </c>
      <c r="J62" s="75">
        <f>[1]!'@CTA[8-2-1-3-2-3291,F,2,#6]'+[1]!'@CTA[8-2-3-3-2-3291,F,2,#6]'</f>
        <v>0</v>
      </c>
      <c r="K62" s="76">
        <f>[1]!'@CTA[8-2-4-3-2-3291,J,2,#6]'</f>
        <v>0</v>
      </c>
      <c r="L62" s="76">
        <f>[1]!'@CTA[8-2-5-3-2-3291,J,2,#6]'</f>
        <v>0</v>
      </c>
      <c r="M62" s="76">
        <f>[1]!'@CTA[8-2-6-3-2-3291,J,2,#6]'</f>
        <v>0</v>
      </c>
      <c r="N62" s="74">
        <f>[1]!'@CTA[8-2-7-3-2-3291,F,2,#6]'</f>
        <v>0</v>
      </c>
      <c r="O62" s="66">
        <f t="shared" si="2"/>
        <v>0</v>
      </c>
    </row>
    <row r="63" spans="1:15" ht="108" x14ac:dyDescent="0.2">
      <c r="A63" s="67" t="s">
        <v>148</v>
      </c>
      <c r="B63" s="61" t="s">
        <v>152</v>
      </c>
      <c r="C63" s="61" t="s">
        <v>149</v>
      </c>
      <c r="D63" s="62" t="s">
        <v>150</v>
      </c>
      <c r="E63" s="71" t="s">
        <v>177</v>
      </c>
      <c r="F63" s="72">
        <v>3311</v>
      </c>
      <c r="G63" s="73" t="s">
        <v>216</v>
      </c>
      <c r="H63" s="74">
        <f>[1]!'@CTA[8-2-1-3-3-3311,F,2,#6]'</f>
        <v>924000</v>
      </c>
      <c r="I63" s="74">
        <f>-[1]!'@CTA[8-2-3-3-3-3311,F,2,#6]'</f>
        <v>0</v>
      </c>
      <c r="J63" s="75">
        <f>[1]!'@CTA[8-2-1-3-3-3311,F,2,#6]'-[1]!'@CTA[8-2-3-3-3-3311,F,2,#6]'</f>
        <v>924000</v>
      </c>
      <c r="K63" s="76">
        <f>[1]!'@CTA[8-2-4-3-3-3311,J,2,#6]'</f>
        <v>542462.97</v>
      </c>
      <c r="L63" s="76">
        <f>[1]!'@CTA[8-2-5-3-3-3311,J,2,#6]'</f>
        <v>542462.97</v>
      </c>
      <c r="M63" s="76">
        <f>[1]!'@CTA[8-2-6-3-3-3311,J,2,#6]'</f>
        <v>542462.97</v>
      </c>
      <c r="N63" s="74">
        <f>[1]!'@CTA[8-2-7-3-3-3311,F,2,#6]'</f>
        <v>542462.97</v>
      </c>
      <c r="O63" s="66">
        <f t="shared" si="2"/>
        <v>381537.03</v>
      </c>
    </row>
    <row r="64" spans="1:15" ht="108" x14ac:dyDescent="0.2">
      <c r="A64" s="67" t="s">
        <v>148</v>
      </c>
      <c r="B64" s="61" t="s">
        <v>152</v>
      </c>
      <c r="C64" s="61" t="s">
        <v>149</v>
      </c>
      <c r="D64" s="62" t="s">
        <v>150</v>
      </c>
      <c r="E64" s="71" t="s">
        <v>177</v>
      </c>
      <c r="F64" s="72">
        <v>3331</v>
      </c>
      <c r="G64" s="73" t="s">
        <v>217</v>
      </c>
      <c r="H64" s="74">
        <f>[1]!'@CTA[8-2-1-3-3-3331,F,2,#6]'</f>
        <v>0</v>
      </c>
      <c r="I64" s="74">
        <f>[1]!'@CTA[8-2-3-3-3-3331,F,2,#6]'</f>
        <v>0</v>
      </c>
      <c r="J64" s="75">
        <f>[1]!'@CTA[8-2-1-3-3-3331,F,2,#6]'+[1]!'@CTA[8-2-3-3-3-3331,F,2,#6]'</f>
        <v>0</v>
      </c>
      <c r="K64" s="76">
        <f>[1]!'@CTA[8-2-4-3-3-3331,J,2,#6]'</f>
        <v>0</v>
      </c>
      <c r="L64" s="76">
        <f>[1]!'@CTA[8-2-5-3-3-3331,J,2,#6]'</f>
        <v>0</v>
      </c>
      <c r="M64" s="76">
        <f>[1]!'@CTA[8-2-6-3-3-3331,J,2,#6]'</f>
        <v>0</v>
      </c>
      <c r="N64" s="74">
        <f>[1]!'@CTA[8-2-7-3-3-3331,F,2,#6]'</f>
        <v>0</v>
      </c>
      <c r="O64" s="66">
        <f t="shared" si="2"/>
        <v>0</v>
      </c>
    </row>
    <row r="65" spans="1:15" ht="108" x14ac:dyDescent="0.2">
      <c r="A65" s="67" t="s">
        <v>148</v>
      </c>
      <c r="B65" s="61" t="s">
        <v>152</v>
      </c>
      <c r="C65" s="61" t="s">
        <v>149</v>
      </c>
      <c r="D65" s="62" t="s">
        <v>150</v>
      </c>
      <c r="E65" s="71" t="s">
        <v>177</v>
      </c>
      <c r="F65" s="72">
        <v>3332</v>
      </c>
      <c r="G65" s="73" t="s">
        <v>218</v>
      </c>
      <c r="H65" s="74">
        <f>[1]!'@CTA[8-2-1-3-3-3332,F,2,#6]'</f>
        <v>0</v>
      </c>
      <c r="I65" s="74">
        <f>[1]!'@CTA[8-2-3-3-3-3332,F,2,#6]'</f>
        <v>0</v>
      </c>
      <c r="J65" s="75">
        <f>[1]!'@CTA[8-2-1-3-3-3332,F,2,#6]'+[1]!'@CTA[8-2-3-3-3-3332,F,2,#6]'</f>
        <v>0</v>
      </c>
      <c r="K65" s="76">
        <f>[1]!'@CTA[8-2-4-3-3-3332,J,2,#6]'</f>
        <v>0</v>
      </c>
      <c r="L65" s="76">
        <f>[1]!'@CTA[8-2-5-3-3-3332,J,2,#6]'</f>
        <v>0</v>
      </c>
      <c r="M65" s="76">
        <f>[1]!'@CTA[8-2-6-3-3-3332,J,2,#6]'</f>
        <v>0</v>
      </c>
      <c r="N65" s="74">
        <f>[1]!'@CTA[8-2-7-3-3-3332,F,2,#6]'</f>
        <v>-2.9103830456733704E-11</v>
      </c>
      <c r="O65" s="66">
        <f t="shared" si="2"/>
        <v>0</v>
      </c>
    </row>
    <row r="66" spans="1:15" ht="108" x14ac:dyDescent="0.2">
      <c r="A66" s="67" t="s">
        <v>148</v>
      </c>
      <c r="B66" s="61" t="s">
        <v>152</v>
      </c>
      <c r="C66" s="61" t="s">
        <v>149</v>
      </c>
      <c r="D66" s="62" t="s">
        <v>150</v>
      </c>
      <c r="E66" s="71" t="s">
        <v>177</v>
      </c>
      <c r="F66" s="72">
        <v>3341</v>
      </c>
      <c r="G66" s="73" t="s">
        <v>219</v>
      </c>
      <c r="H66" s="74">
        <f>[1]!'@CTA[8-2-1-3-3-3341,F,2,#6]'</f>
        <v>0</v>
      </c>
      <c r="I66" s="74">
        <f>[1]!'@CTA[8-2-3-3-3-3341,F,2,#6]'</f>
        <v>0</v>
      </c>
      <c r="J66" s="75">
        <f>[1]!'@CTA[8-2-1-3-3-3341,F,2,#6]'+[1]!'@CTA[8-2-3-3-3-3341,F,2,#6]'</f>
        <v>0</v>
      </c>
      <c r="K66" s="76">
        <f>[1]!'@CTA[8-2-4-3-3-3341,J,2,#6]'</f>
        <v>0</v>
      </c>
      <c r="L66" s="76">
        <f>[1]!'@CTA[8-2-5-3-3-3341,J,2,#6]'</f>
        <v>0</v>
      </c>
      <c r="M66" s="76">
        <f>[1]!'@CTA[8-2-6-3-3-3341,J,2,#6]'</f>
        <v>0</v>
      </c>
      <c r="N66" s="74">
        <f>[1]!'@CTA[8-2-7-3-3-3341,F,2,#6]'</f>
        <v>0</v>
      </c>
      <c r="O66" s="66">
        <f t="shared" si="2"/>
        <v>0</v>
      </c>
    </row>
    <row r="67" spans="1:15" ht="108" x14ac:dyDescent="0.2">
      <c r="A67" s="67" t="s">
        <v>148</v>
      </c>
      <c r="B67" s="61" t="s">
        <v>152</v>
      </c>
      <c r="C67" s="61" t="s">
        <v>149</v>
      </c>
      <c r="D67" s="62" t="s">
        <v>150</v>
      </c>
      <c r="E67" s="71" t="s">
        <v>177</v>
      </c>
      <c r="F67" s="72">
        <v>3381</v>
      </c>
      <c r="G67" s="73" t="s">
        <v>220</v>
      </c>
      <c r="H67" s="74">
        <f>[1]!'@CTA[8-2-1-3-3-3381,F,2,#6]'</f>
        <v>0</v>
      </c>
      <c r="I67" s="74">
        <f>[1]!'@CTA[8-2-3-3-3-3381,F,2,#6]'</f>
        <v>0</v>
      </c>
      <c r="J67" s="75">
        <f>[1]!'@CTA[8-2-1-3-3-3381,F,2,#6]'+[1]!'@CTA[8-2-3-3-3-3381,F,2,#6]'</f>
        <v>0</v>
      </c>
      <c r="K67" s="76">
        <f>[1]!'@CTA[8-2-4-3-3-3381,J,2,#6]'</f>
        <v>0</v>
      </c>
      <c r="L67" s="76">
        <f>[1]!'@CTA[8-2-5-3-3-3381,J,2,#6]'</f>
        <v>0</v>
      </c>
      <c r="M67" s="76">
        <f>[1]!'@CTA[8-2-6-3-3-3381,J,2,#6]'</f>
        <v>0</v>
      </c>
      <c r="N67" s="74">
        <f>[1]!'@CTA[8-2-7-3-3-3381,F,2,#6]'</f>
        <v>0</v>
      </c>
      <c r="O67" s="66">
        <f t="shared" si="2"/>
        <v>0</v>
      </c>
    </row>
    <row r="68" spans="1:15" ht="108" x14ac:dyDescent="0.2">
      <c r="A68" s="67" t="s">
        <v>148</v>
      </c>
      <c r="B68" s="61" t="s">
        <v>152</v>
      </c>
      <c r="C68" s="61" t="s">
        <v>149</v>
      </c>
      <c r="D68" s="62" t="s">
        <v>150</v>
      </c>
      <c r="E68" s="71" t="s">
        <v>177</v>
      </c>
      <c r="F68" s="72">
        <v>3391</v>
      </c>
      <c r="G68" s="73" t="s">
        <v>221</v>
      </c>
      <c r="H68" s="74">
        <f>[1]!'@CTA[8-2-1-3-3-3391,F,2,#6]'</f>
        <v>0</v>
      </c>
      <c r="I68" s="74">
        <f>[1]!'@CTA[8-2-3-3-3-3391,F,2,#6]'</f>
        <v>0</v>
      </c>
      <c r="J68" s="75">
        <f>[1]!'@CTA[8-2-1-3-3-3391,F,2,#6]'+[1]!'@CTA[8-2-3-3-3-3391,F,2,#6]'</f>
        <v>0</v>
      </c>
      <c r="K68" s="76">
        <f>[1]!'@CTA[8-2-4-3-3-3391,J,2,#6]'</f>
        <v>0</v>
      </c>
      <c r="L68" s="76">
        <f>[1]!'@CTA[8-2-5-3-3-3391,J,2,#6]'</f>
        <v>0</v>
      </c>
      <c r="M68" s="76">
        <f>[1]!'@CTA[8-2-6-3-3-3391,J,2,#6]'</f>
        <v>0</v>
      </c>
      <c r="N68" s="74">
        <f>[1]!'@CTA[8-2-7-3-3-3391,F,2,#6]'</f>
        <v>0</v>
      </c>
      <c r="O68" s="66">
        <f t="shared" ref="O68:O131" si="6">J68-L68</f>
        <v>0</v>
      </c>
    </row>
    <row r="69" spans="1:15" ht="108" x14ac:dyDescent="0.2">
      <c r="A69" s="67" t="s">
        <v>148</v>
      </c>
      <c r="B69" s="61" t="s">
        <v>152</v>
      </c>
      <c r="C69" s="61" t="s">
        <v>149</v>
      </c>
      <c r="D69" s="62" t="s">
        <v>150</v>
      </c>
      <c r="E69" s="71" t="s">
        <v>177</v>
      </c>
      <c r="F69" s="72">
        <v>3411</v>
      </c>
      <c r="G69" s="73" t="s">
        <v>222</v>
      </c>
      <c r="H69" s="74">
        <f>[1]!'@CTA[8-2-1-3-4-3411,F,2,#6]'</f>
        <v>0</v>
      </c>
      <c r="I69" s="74">
        <f>[1]!'@CTA[8-2-3-3-4-3411,F,2,#6]'</f>
        <v>0</v>
      </c>
      <c r="J69" s="75">
        <f>[1]!'@CTA[8-2-1-3-4-3411,F,2,#6]'+[1]!'@CTA[8-2-3-3-4-3411,F,2,#6]'</f>
        <v>0</v>
      </c>
      <c r="K69" s="76">
        <f>[1]!'@CTA[8-2-4-3-4-3411,J,2,#6]'</f>
        <v>0</v>
      </c>
      <c r="L69" s="76">
        <f>[1]!'@CTA[8-2-5-3-4-3411,J,2,#6]'</f>
        <v>0</v>
      </c>
      <c r="M69" s="76">
        <f>[1]!'@CTA[8-2-6-3-4-3411,J,2,#6]'</f>
        <v>0</v>
      </c>
      <c r="N69" s="74">
        <f>[1]!'@CTA[8-2-7-3-4-3411,F,2,#6]'</f>
        <v>0</v>
      </c>
      <c r="O69" s="66">
        <f t="shared" si="6"/>
        <v>0</v>
      </c>
    </row>
    <row r="70" spans="1:15" ht="108" x14ac:dyDescent="0.2">
      <c r="A70" s="67" t="s">
        <v>148</v>
      </c>
      <c r="B70" s="61" t="s">
        <v>152</v>
      </c>
      <c r="C70" s="61" t="s">
        <v>149</v>
      </c>
      <c r="D70" s="62" t="s">
        <v>150</v>
      </c>
      <c r="E70" s="71" t="s">
        <v>177</v>
      </c>
      <c r="F70" s="72">
        <v>3431</v>
      </c>
      <c r="G70" s="73" t="s">
        <v>223</v>
      </c>
      <c r="H70" s="74">
        <f>[1]!'@CTA[8-2-1-3-4-3431,F,2,#6]'</f>
        <v>0</v>
      </c>
      <c r="I70" s="74">
        <f>[1]!'@CTA[8-2-3-3-4-3431,F,2,#6]'</f>
        <v>0</v>
      </c>
      <c r="J70" s="75">
        <f>[1]!'@CTA[8-2-1-3-4-3431,F,2,#6]'+[1]!'@CTA[8-2-3-3-4-3431,F,2,#6]'</f>
        <v>0</v>
      </c>
      <c r="K70" s="76">
        <f>[1]!'@CTA[8-2-4-3-4-3431,J,2,#6]'</f>
        <v>0</v>
      </c>
      <c r="L70" s="76">
        <f>[1]!'@CTA[8-2-5-3-4-3431,J,2,#6]'</f>
        <v>0</v>
      </c>
      <c r="M70" s="76">
        <f>[1]!'@CTA[8-2-6-3-4-3431,J,2,#6]'</f>
        <v>0</v>
      </c>
      <c r="N70" s="74">
        <f>[1]!'@CTA[8-2-7-3-4-3431,F,2,#6]'</f>
        <v>0</v>
      </c>
      <c r="O70" s="66">
        <f t="shared" si="6"/>
        <v>0</v>
      </c>
    </row>
    <row r="71" spans="1:15" ht="108" x14ac:dyDescent="0.2">
      <c r="A71" s="67" t="s">
        <v>148</v>
      </c>
      <c r="B71" s="61" t="s">
        <v>152</v>
      </c>
      <c r="C71" s="61" t="s">
        <v>149</v>
      </c>
      <c r="D71" s="62" t="s">
        <v>150</v>
      </c>
      <c r="E71" s="71" t="s">
        <v>177</v>
      </c>
      <c r="F71" s="72">
        <v>3451</v>
      </c>
      <c r="G71" s="73" t="s">
        <v>224</v>
      </c>
      <c r="H71" s="74">
        <f>[1]!'@CTA[8-2-1-3-4-3451,F,2,#6]'</f>
        <v>4828</v>
      </c>
      <c r="I71" s="74">
        <f>[1]!'@CTA[8-2-3-3-4-3451,F,2,#6]'</f>
        <v>0</v>
      </c>
      <c r="J71" s="75">
        <f>[1]!'@CTA[8-2-1-3-4-3451,F,2,#6]'+[1]!'@CTA[8-2-3-3-4-3451,F,2,#6]'</f>
        <v>4828</v>
      </c>
      <c r="K71" s="76">
        <f>[1]!'@CTA[8-2-4-3-4-3451,J,2,#6]'</f>
        <v>1166.1299999999999</v>
      </c>
      <c r="L71" s="76">
        <f>[1]!'@CTA[8-2-5-3-4-3451,J,2,#6]'</f>
        <v>1166.1299999999999</v>
      </c>
      <c r="M71" s="76">
        <f>[1]!'@CTA[8-2-6-3-4-3451,J,2,#6]'</f>
        <v>1166.1299999999999</v>
      </c>
      <c r="N71" s="74">
        <f>[1]!'@CTA[8-2-7-3-4-3451,F,2,#6]'</f>
        <v>1166.129999999999</v>
      </c>
      <c r="O71" s="66">
        <f t="shared" si="6"/>
        <v>3661.87</v>
      </c>
    </row>
    <row r="72" spans="1:15" ht="108" x14ac:dyDescent="0.2">
      <c r="A72" s="67" t="s">
        <v>148</v>
      </c>
      <c r="B72" s="61" t="s">
        <v>152</v>
      </c>
      <c r="C72" s="61" t="s">
        <v>149</v>
      </c>
      <c r="D72" s="62" t="s">
        <v>150</v>
      </c>
      <c r="E72" s="71" t="s">
        <v>177</v>
      </c>
      <c r="F72" s="72">
        <v>3471</v>
      </c>
      <c r="G72" s="73" t="s">
        <v>225</v>
      </c>
      <c r="H72" s="74">
        <f>[1]!'@CTA[8-2-1-3-4-3471,F,2,#6]'</f>
        <v>600</v>
      </c>
      <c r="I72" s="74">
        <f>[1]!'@CTA[8-2-3-3-4-3471,F,2,#6]'</f>
        <v>0</v>
      </c>
      <c r="J72" s="75">
        <f>[1]!'@CTA[8-2-1-3-4-3471,F,2,#6]'+[1]!'@CTA[8-2-3-3-4-3471,F,2,#6]'</f>
        <v>600</v>
      </c>
      <c r="K72" s="76">
        <f>[1]!'@CTA[8-2-4-3-4-3471,J,2,#6]'</f>
        <v>13.79</v>
      </c>
      <c r="L72" s="76">
        <f>[1]!'@CTA[8-2-5-3-4-3471,J,2,#6]'</f>
        <v>13.79</v>
      </c>
      <c r="M72" s="76">
        <f>[1]!'@CTA[8-2-6-3-4-3471,J,2,#6]'</f>
        <v>13.79</v>
      </c>
      <c r="N72" s="74">
        <f>[1]!'@CTA[8-2-7-3-4-3471,F,2,#6]'</f>
        <v>1.1368683772161603E-13</v>
      </c>
      <c r="O72" s="66">
        <f t="shared" si="6"/>
        <v>586.21</v>
      </c>
    </row>
    <row r="73" spans="1:15" ht="108" x14ac:dyDescent="0.2">
      <c r="A73" s="67" t="s">
        <v>148</v>
      </c>
      <c r="B73" s="61" t="s">
        <v>152</v>
      </c>
      <c r="C73" s="61" t="s">
        <v>149</v>
      </c>
      <c r="D73" s="62" t="s">
        <v>150</v>
      </c>
      <c r="E73" s="71" t="s">
        <v>177</v>
      </c>
      <c r="F73" s="72">
        <v>3491</v>
      </c>
      <c r="G73" s="73" t="s">
        <v>226</v>
      </c>
      <c r="H73" s="74">
        <f>[1]!'@CTA[8-2-1-3-4-3491,F,2,#6]'</f>
        <v>1164</v>
      </c>
      <c r="I73" s="74">
        <f>[1]!'@CTA[8-2-3-3-4-3491,F,2,#6]'</f>
        <v>0</v>
      </c>
      <c r="J73" s="75">
        <f>[1]!'@CTA[8-2-1-3-4-3491,F,2,#6]'+[1]!'@CTA[8-2-3-3-4-3491,F,2,#6]'</f>
        <v>1164</v>
      </c>
      <c r="K73" s="76">
        <f>[1]!'@CTA[8-2-4-3-4-3491,J,2,#6]'</f>
        <v>319.26</v>
      </c>
      <c r="L73" s="76">
        <f>[1]!'@CTA[8-2-5-3-4-3491,J,2,#6]'</f>
        <v>319.26</v>
      </c>
      <c r="M73" s="76">
        <f>[1]!'@CTA[8-2-6-3-4-3491,J,2,#6]'</f>
        <v>319.26</v>
      </c>
      <c r="N73" s="74">
        <f>[1]!'@CTA[8-2-7-3-4-3491,F,2,#6]'</f>
        <v>319.25999999999988</v>
      </c>
      <c r="O73" s="66">
        <f t="shared" si="6"/>
        <v>844.74</v>
      </c>
    </row>
    <row r="74" spans="1:15" ht="108" x14ac:dyDescent="0.2">
      <c r="A74" s="67" t="s">
        <v>148</v>
      </c>
      <c r="B74" s="61" t="s">
        <v>152</v>
      </c>
      <c r="C74" s="61" t="s">
        <v>149</v>
      </c>
      <c r="D74" s="62" t="s">
        <v>150</v>
      </c>
      <c r="E74" s="71" t="s">
        <v>177</v>
      </c>
      <c r="F74" s="72">
        <v>3511</v>
      </c>
      <c r="G74" s="73" t="s">
        <v>227</v>
      </c>
      <c r="H74" s="74">
        <f>[1]!'@CTA[8-2-1-3-5-3511,F,2,#6]'</f>
        <v>0</v>
      </c>
      <c r="I74" s="74">
        <f>[1]!'@CTA[8-2-3-3-5-3511,F,2,#6]'</f>
        <v>0</v>
      </c>
      <c r="J74" s="75">
        <f>[1]!'@CTA[8-2-1-3-5-3511,F,2,#6]'+[1]!'@CTA[8-2-3-3-5-3511,F,2,#6]'</f>
        <v>0</v>
      </c>
      <c r="K74" s="76">
        <f>[1]!'@CTA[8-2-4-3-5-3511,J,2,#6]'</f>
        <v>0</v>
      </c>
      <c r="L74" s="76">
        <f>[1]!'@CTA[8-2-5-3-5-3511,J,2,#6]'</f>
        <v>0</v>
      </c>
      <c r="M74" s="76">
        <f>[1]!'@CTA[8-2-6-3-5-3511,J,2,#6]'</f>
        <v>0</v>
      </c>
      <c r="N74" s="74">
        <f>[1]!'@CTA[8-2-7-3-5-3511,F,2,#6]'</f>
        <v>0</v>
      </c>
      <c r="O74" s="66">
        <f t="shared" si="6"/>
        <v>0</v>
      </c>
    </row>
    <row r="75" spans="1:15" ht="108" x14ac:dyDescent="0.2">
      <c r="A75" s="67" t="s">
        <v>148</v>
      </c>
      <c r="B75" s="61" t="s">
        <v>152</v>
      </c>
      <c r="C75" s="61" t="s">
        <v>149</v>
      </c>
      <c r="D75" s="62" t="s">
        <v>150</v>
      </c>
      <c r="E75" s="71" t="s">
        <v>177</v>
      </c>
      <c r="F75" s="72">
        <v>3521</v>
      </c>
      <c r="G75" s="73" t="s">
        <v>228</v>
      </c>
      <c r="H75" s="74">
        <f>[1]!'@CTA[8-2-1-3-5-3521,F,2,#6]'</f>
        <v>0</v>
      </c>
      <c r="I75" s="74">
        <f>[1]!'@CTA[8-2-3-3-5-3521,F,2,#6]'</f>
        <v>0</v>
      </c>
      <c r="J75" s="75">
        <f>[1]!'@CTA[8-2-1-3-5-3521,F,2,#6]'+[1]!'@CTA[8-2-3-3-5-3521,F,2,#6]'</f>
        <v>0</v>
      </c>
      <c r="K75" s="76">
        <f>[1]!'@CTA[8-2-4-3-5-3521,J,2,#6]'</f>
        <v>0</v>
      </c>
      <c r="L75" s="76">
        <f>[1]!'@CTA[8-2-5-3-5-3521,J,2,#6]'</f>
        <v>0</v>
      </c>
      <c r="M75" s="76">
        <f>[1]!'@CTA[8-2-6-3-5-3521,J,2,#6]'</f>
        <v>0</v>
      </c>
      <c r="N75" s="74">
        <f>[1]!'@CTA[8-2-7-3-5-3521,F,2,#6]'</f>
        <v>0</v>
      </c>
      <c r="O75" s="66">
        <f t="shared" si="6"/>
        <v>0</v>
      </c>
    </row>
    <row r="76" spans="1:15" ht="108" x14ac:dyDescent="0.2">
      <c r="A76" s="67" t="s">
        <v>148</v>
      </c>
      <c r="B76" s="61" t="s">
        <v>152</v>
      </c>
      <c r="C76" s="61" t="s">
        <v>149</v>
      </c>
      <c r="D76" s="62" t="s">
        <v>150</v>
      </c>
      <c r="E76" s="71" t="s">
        <v>177</v>
      </c>
      <c r="F76" s="72">
        <v>3531</v>
      </c>
      <c r="G76" s="73" t="s">
        <v>229</v>
      </c>
      <c r="H76" s="74">
        <f>[1]!'@CTA[8-2-1-3-5-3531,F,2,#6]'</f>
        <v>0</v>
      </c>
      <c r="I76" s="74">
        <f>[1]!'@CTA[8-2-3-3-5-3531,F,2,#6]'</f>
        <v>0</v>
      </c>
      <c r="J76" s="75">
        <f>[1]!'@CTA[8-2-1-3-5-3531,F,2,#6]'+[1]!'@CTA[8-2-3-3-5-3531,F,2,#6]'</f>
        <v>0</v>
      </c>
      <c r="K76" s="76">
        <f>[1]!'@CTA[8-2-4-3-5-3531,J,2,#6]'</f>
        <v>0</v>
      </c>
      <c r="L76" s="76">
        <f>[1]!'@CTA[8-2-5-3-5-3531,J,2,#6]'</f>
        <v>0</v>
      </c>
      <c r="M76" s="76">
        <f>[1]!'@CTA[8-2-6-3-5-3531,J,2,#6]'</f>
        <v>0</v>
      </c>
      <c r="N76" s="74">
        <f>[1]!'@CTA[8-2-7-3-5-3531,F,2,#6]'</f>
        <v>0</v>
      </c>
      <c r="O76" s="66">
        <f t="shared" si="6"/>
        <v>0</v>
      </c>
    </row>
    <row r="77" spans="1:15" ht="108" x14ac:dyDescent="0.2">
      <c r="A77" s="67" t="s">
        <v>148</v>
      </c>
      <c r="B77" s="61" t="s">
        <v>152</v>
      </c>
      <c r="C77" s="61" t="s">
        <v>149</v>
      </c>
      <c r="D77" s="62" t="s">
        <v>150</v>
      </c>
      <c r="E77" s="71" t="s">
        <v>177</v>
      </c>
      <c r="F77" s="72">
        <v>3551</v>
      </c>
      <c r="G77" s="73" t="s">
        <v>230</v>
      </c>
      <c r="H77" s="74">
        <f>[1]!'@CTA[8-2-1-3-5-3551,F,2,#6]'</f>
        <v>13000</v>
      </c>
      <c r="I77" s="74">
        <f>[1]!'@CTA[8-2-3-3-5-3551,F,2,#6]'</f>
        <v>0</v>
      </c>
      <c r="J77" s="75">
        <f>[1]!'@CTA[8-2-1-3-5-3551,F,2,#6]'+[1]!'@CTA[8-2-3-3-5-3551,F,2,#6]'</f>
        <v>13000</v>
      </c>
      <c r="K77" s="76">
        <f>[1]!'@CTA[8-2-4-3-5-3551,J,2,#6]'</f>
        <v>979.31999999999994</v>
      </c>
      <c r="L77" s="76">
        <f>[1]!'@CTA[8-2-5-3-5-3551,J,2,#6]'</f>
        <v>979.31999999999994</v>
      </c>
      <c r="M77" s="76">
        <f>[1]!'@CTA[8-2-6-3-5-3551,J,2,#6]'</f>
        <v>979.31999999999994</v>
      </c>
      <c r="N77" s="74">
        <f>[1]!'@CTA[8-2-7-3-5-3551,F,2,#6]'</f>
        <v>979.31999999999789</v>
      </c>
      <c r="O77" s="66">
        <f t="shared" si="6"/>
        <v>12020.68</v>
      </c>
    </row>
    <row r="78" spans="1:15" ht="108" x14ac:dyDescent="0.2">
      <c r="A78" s="67" t="s">
        <v>148</v>
      </c>
      <c r="B78" s="61" t="s">
        <v>152</v>
      </c>
      <c r="C78" s="61" t="s">
        <v>149</v>
      </c>
      <c r="D78" s="62" t="s">
        <v>150</v>
      </c>
      <c r="E78" s="71" t="s">
        <v>177</v>
      </c>
      <c r="F78" s="72">
        <v>3571</v>
      </c>
      <c r="G78" s="73" t="s">
        <v>231</v>
      </c>
      <c r="H78" s="74">
        <f>[1]!'@CTA[8-2-1-3-5-3571,F,2,#6]'</f>
        <v>0</v>
      </c>
      <c r="I78" s="74">
        <f>[1]!'@CTA[8-2-3-3-5-3571,F,2,#6]'</f>
        <v>0</v>
      </c>
      <c r="J78" s="75">
        <f>[1]!'@CTA[8-2-1-3-5-3571,F,2,#6]'+[1]!'@CTA[8-2-3-3-5-3571,F,2,#6]'</f>
        <v>0</v>
      </c>
      <c r="K78" s="76">
        <f>[1]!'@CTA[8-2-4-3-5-3571,J,2,#6]'</f>
        <v>0</v>
      </c>
      <c r="L78" s="76">
        <f>[1]!'@CTA[8-2-5-3-5-3571,J,2,#6]'</f>
        <v>0</v>
      </c>
      <c r="M78" s="76">
        <f>[1]!'@CTA[8-2-6-3-5-3571,J,2,#6]'</f>
        <v>0</v>
      </c>
      <c r="N78" s="74">
        <f>[1]!'@CTA[8-2-7-3-5-3571,F,2,#6]'</f>
        <v>0</v>
      </c>
      <c r="O78" s="66">
        <f t="shared" si="6"/>
        <v>0</v>
      </c>
    </row>
    <row r="79" spans="1:15" ht="108" x14ac:dyDescent="0.2">
      <c r="A79" s="67" t="s">
        <v>148</v>
      </c>
      <c r="B79" s="61" t="s">
        <v>152</v>
      </c>
      <c r="C79" s="61" t="s">
        <v>149</v>
      </c>
      <c r="D79" s="62" t="s">
        <v>150</v>
      </c>
      <c r="E79" s="71" t="s">
        <v>177</v>
      </c>
      <c r="F79" s="72">
        <v>3572</v>
      </c>
      <c r="G79" s="73" t="s">
        <v>232</v>
      </c>
      <c r="H79" s="74">
        <f>[1]!'@CTA[8-2-1-3-5-3572,F,2,#6]'</f>
        <v>0</v>
      </c>
      <c r="I79" s="74">
        <f>[1]!'@CTA[8-2-3-3-5-3572,F,2,#6]'</f>
        <v>0</v>
      </c>
      <c r="J79" s="75">
        <f>[1]!'@CTA[8-2-1-3-5-3572,F,2,#6]'+[1]!'@CTA[8-2-3-3-5-3572,F,2,#6]'</f>
        <v>0</v>
      </c>
      <c r="K79" s="76">
        <f>[1]!'@CTA[8-2-4-3-5-3572,J,2,#6]'</f>
        <v>0</v>
      </c>
      <c r="L79" s="76">
        <f>[1]!'@CTA[8-2-5-3-5-3572,J,2,#6]'</f>
        <v>0</v>
      </c>
      <c r="M79" s="76">
        <f>[1]!'@CTA[8-2-6-3-5-3572,J,2,#6]'</f>
        <v>0</v>
      </c>
      <c r="N79" s="74">
        <f>[1]!'@CTA[8-2-7-3-5-3572,F,2,#6]'</f>
        <v>0</v>
      </c>
      <c r="O79" s="66">
        <f t="shared" si="6"/>
        <v>0</v>
      </c>
    </row>
    <row r="80" spans="1:15" ht="108" x14ac:dyDescent="0.2">
      <c r="A80" s="67" t="s">
        <v>148</v>
      </c>
      <c r="B80" s="61" t="s">
        <v>152</v>
      </c>
      <c r="C80" s="61" t="s">
        <v>149</v>
      </c>
      <c r="D80" s="62" t="s">
        <v>150</v>
      </c>
      <c r="E80" s="71" t="s">
        <v>177</v>
      </c>
      <c r="F80" s="72">
        <v>3573</v>
      </c>
      <c r="G80" s="73" t="s">
        <v>233</v>
      </c>
      <c r="H80" s="74">
        <f>[1]!'@CTA[8-2-1-3-5-3573,F,2,#6]'</f>
        <v>0</v>
      </c>
      <c r="I80" s="74">
        <f>[1]!'@CTA[8-2-3-3-5-3573,F,2,#6]'</f>
        <v>0</v>
      </c>
      <c r="J80" s="75">
        <f>[1]!'@CTA[8-2-1-3-5-3573,F,2,#6]'+[1]!'@CTA[8-2-3-3-5-3573,F,2,#6]'</f>
        <v>0</v>
      </c>
      <c r="K80" s="76">
        <f>[1]!'@CTA[8-2-4-3-5-3573,J,2,#6]'</f>
        <v>0</v>
      </c>
      <c r="L80" s="76">
        <f>[1]!'@CTA[8-2-5-3-5-3573,J,2,#6]'</f>
        <v>0</v>
      </c>
      <c r="M80" s="76">
        <f>[1]!'@CTA[8-2-6-3-5-3573,J,2,#6]'</f>
        <v>0</v>
      </c>
      <c r="N80" s="74">
        <f>[1]!'@CTA[8-2-7-3-5-3573,F,2,#6]'</f>
        <v>0</v>
      </c>
      <c r="O80" s="66">
        <f t="shared" si="6"/>
        <v>0</v>
      </c>
    </row>
    <row r="81" spans="1:15" ht="108" x14ac:dyDescent="0.2">
      <c r="A81" s="67" t="s">
        <v>148</v>
      </c>
      <c r="B81" s="61" t="s">
        <v>152</v>
      </c>
      <c r="C81" s="61" t="s">
        <v>149</v>
      </c>
      <c r="D81" s="62" t="s">
        <v>150</v>
      </c>
      <c r="E81" s="71" t="s">
        <v>177</v>
      </c>
      <c r="F81" s="72">
        <v>3574</v>
      </c>
      <c r="G81" s="73" t="s">
        <v>234</v>
      </c>
      <c r="H81" s="74">
        <f>[1]!'@CTA[8-2-1-3-5-3574,F,2,#6]'</f>
        <v>0</v>
      </c>
      <c r="I81" s="74">
        <f>[1]!'@CTA[8-2-3-3-5-3574,F,2,#6]'</f>
        <v>0</v>
      </c>
      <c r="J81" s="75">
        <f>[1]!'@CTA[8-2-1-3-5-3574,F,2,#6]'+[1]!'@CTA[8-2-3-3-5-3574,F,2,#6]'</f>
        <v>0</v>
      </c>
      <c r="K81" s="76">
        <f>[1]!'@CTA[8-2-4-3-5-3574,J,2,#6]'</f>
        <v>0</v>
      </c>
      <c r="L81" s="76">
        <f>[1]!'@CTA[8-2-5-3-5-3574,J,2,#6]'</f>
        <v>0</v>
      </c>
      <c r="M81" s="76">
        <f>[1]!'@CTA[8-2-6-3-5-3574,J,2,#6]'</f>
        <v>0</v>
      </c>
      <c r="N81" s="74">
        <f>[1]!'@CTA[8-2-7-3-5-3574,F,2,#6]'</f>
        <v>0</v>
      </c>
      <c r="O81" s="66">
        <f t="shared" si="6"/>
        <v>0</v>
      </c>
    </row>
    <row r="82" spans="1:15" ht="108" x14ac:dyDescent="0.2">
      <c r="A82" s="67" t="s">
        <v>148</v>
      </c>
      <c r="B82" s="61" t="s">
        <v>152</v>
      </c>
      <c r="C82" s="61" t="s">
        <v>149</v>
      </c>
      <c r="D82" s="62" t="s">
        <v>150</v>
      </c>
      <c r="E82" s="71" t="s">
        <v>177</v>
      </c>
      <c r="F82" s="72">
        <v>3575</v>
      </c>
      <c r="G82" s="73" t="s">
        <v>235</v>
      </c>
      <c r="H82" s="74">
        <f>[1]!'@CTA[8-2-1-3-5-3575,F,2,#6]'</f>
        <v>0</v>
      </c>
      <c r="I82" s="74">
        <f>[1]!'@CTA[8-2-3-3-5-3575,F,2,#6]'</f>
        <v>0</v>
      </c>
      <c r="J82" s="75">
        <f>[1]!'@CTA[8-2-1-3-5-3575,F,2,#6]'+[1]!'@CTA[8-2-3-3-5-3575,F,2,#6]'</f>
        <v>0</v>
      </c>
      <c r="K82" s="76">
        <f>[1]!'@CTA[8-2-4-3-5-3575,J,2,#6]'</f>
        <v>0</v>
      </c>
      <c r="L82" s="76">
        <f>[1]!'@CTA[8-2-5-3-5-3575,J,2,#6]'</f>
        <v>0</v>
      </c>
      <c r="M82" s="76">
        <f>[1]!'@CTA[8-2-6-3-5-3575,J,2,#6]'</f>
        <v>0</v>
      </c>
      <c r="N82" s="74">
        <f>[1]!'@CTA[8-2-7-3-5-3575,F,2,#6]'</f>
        <v>0</v>
      </c>
      <c r="O82" s="66">
        <f t="shared" si="6"/>
        <v>0</v>
      </c>
    </row>
    <row r="83" spans="1:15" ht="108" x14ac:dyDescent="0.2">
      <c r="A83" s="67" t="s">
        <v>148</v>
      </c>
      <c r="B83" s="61" t="s">
        <v>152</v>
      </c>
      <c r="C83" s="61" t="s">
        <v>149</v>
      </c>
      <c r="D83" s="62" t="s">
        <v>150</v>
      </c>
      <c r="E83" s="71" t="s">
        <v>177</v>
      </c>
      <c r="F83" s="72">
        <v>3576</v>
      </c>
      <c r="G83" s="73" t="s">
        <v>236</v>
      </c>
      <c r="H83" s="74">
        <f>[1]!'@CTA[8-2-1-3-5-3576,F,2,#6]'</f>
        <v>0</v>
      </c>
      <c r="I83" s="74">
        <f>[1]!'@CTA[8-2-3-3-5-3576,F,2,#6]'</f>
        <v>0</v>
      </c>
      <c r="J83" s="75">
        <f>[1]!'@CTA[8-2-1-3-5-3576,F,2,#6]'+[1]!'@CTA[8-2-3-3-5-3576,F,2,#6]'</f>
        <v>0</v>
      </c>
      <c r="K83" s="76">
        <f>[1]!'@CTA[8-2-4-3-5-3576,J,2,#6]'</f>
        <v>0</v>
      </c>
      <c r="L83" s="76">
        <f>[1]!'@CTA[8-2-5-3-5-3576,J,2,#6]'</f>
        <v>0</v>
      </c>
      <c r="M83" s="76">
        <f>[1]!'@CTA[8-2-6-3-5-3576,J,2,#6]'</f>
        <v>0</v>
      </c>
      <c r="N83" s="74">
        <f>[1]!'@CTA[8-2-7-3-5-3576,F,2,#6]'</f>
        <v>0</v>
      </c>
      <c r="O83" s="66">
        <f t="shared" si="6"/>
        <v>0</v>
      </c>
    </row>
    <row r="84" spans="1:15" ht="108" x14ac:dyDescent="0.2">
      <c r="A84" s="67" t="s">
        <v>148</v>
      </c>
      <c r="B84" s="61" t="s">
        <v>152</v>
      </c>
      <c r="C84" s="61" t="s">
        <v>149</v>
      </c>
      <c r="D84" s="62" t="s">
        <v>150</v>
      </c>
      <c r="E84" s="71" t="s">
        <v>177</v>
      </c>
      <c r="F84" s="72">
        <v>3577</v>
      </c>
      <c r="G84" s="73" t="s">
        <v>237</v>
      </c>
      <c r="H84" s="74">
        <f>[1]!'@CTA[8-2-1-3-5-3577,F,2,#6]'</f>
        <v>0</v>
      </c>
      <c r="I84" s="74">
        <f>[1]!'@CTA[8-2-3-3-5-3577,F,2,#6]'</f>
        <v>0</v>
      </c>
      <c r="J84" s="75">
        <f>[1]!'@CTA[8-2-1-3-5-3577,F,2,#6]'+[1]!'@CTA[8-2-3-3-5-3577,F,2,#6]'</f>
        <v>0</v>
      </c>
      <c r="K84" s="76">
        <f>[1]!'@CTA[8-2-4-3-5-3577,J,2,#6]'</f>
        <v>0</v>
      </c>
      <c r="L84" s="76">
        <f>[1]!'@CTA[8-2-5-3-5-3577,J,2,#6]'</f>
        <v>0</v>
      </c>
      <c r="M84" s="76">
        <f>[1]!'@CTA[8-2-6-3-5-3577,J,2,#6]'</f>
        <v>0</v>
      </c>
      <c r="N84" s="74">
        <f>[1]!'@CTA[8-2-7-3-5-3577,F,2,#6]'</f>
        <v>0</v>
      </c>
      <c r="O84" s="66">
        <f t="shared" si="6"/>
        <v>0</v>
      </c>
    </row>
    <row r="85" spans="1:15" ht="108" x14ac:dyDescent="0.2">
      <c r="A85" s="67" t="s">
        <v>148</v>
      </c>
      <c r="B85" s="61" t="s">
        <v>152</v>
      </c>
      <c r="C85" s="61" t="s">
        <v>149</v>
      </c>
      <c r="D85" s="62" t="s">
        <v>150</v>
      </c>
      <c r="E85" s="71" t="s">
        <v>177</v>
      </c>
      <c r="F85" s="72">
        <v>3611</v>
      </c>
      <c r="G85" s="73" t="s">
        <v>238</v>
      </c>
      <c r="H85" s="74">
        <f>[1]!'@CTA[8-2-1-3-6-3611,F,2,#6]'</f>
        <v>0</v>
      </c>
      <c r="I85" s="74">
        <f>[1]!'@CTA[8-2-3-3-6-3611,F,2,#6]'</f>
        <v>0</v>
      </c>
      <c r="J85" s="75">
        <f>[1]!'@CTA[8-2-1-3-6-3611,F,2,#6]'+[1]!'@CTA[8-2-3-3-6-3611,F,2,#6]'</f>
        <v>0</v>
      </c>
      <c r="K85" s="76">
        <f>[1]!'@CTA[8-2-4-3-6-3611,J,2,#6]'</f>
        <v>0</v>
      </c>
      <c r="L85" s="76">
        <f>[1]!'@CTA[8-2-5-3-6-3611,J,2,#6]'</f>
        <v>0</v>
      </c>
      <c r="M85" s="76">
        <f>[1]!'@CTA[8-2-6-3-6-3611,J,2,#6]'</f>
        <v>0</v>
      </c>
      <c r="N85" s="74">
        <f>[1]!'@CTA[8-2-7-3-6-3611,F,2,#6]'</f>
        <v>0</v>
      </c>
      <c r="O85" s="66">
        <f t="shared" si="6"/>
        <v>0</v>
      </c>
    </row>
    <row r="86" spans="1:15" ht="108" x14ac:dyDescent="0.2">
      <c r="A86" s="67" t="s">
        <v>148</v>
      </c>
      <c r="B86" s="61" t="s">
        <v>152</v>
      </c>
      <c r="C86" s="61" t="s">
        <v>149</v>
      </c>
      <c r="D86" s="62" t="s">
        <v>150</v>
      </c>
      <c r="E86" s="71" t="s">
        <v>177</v>
      </c>
      <c r="F86" s="72">
        <v>3721</v>
      </c>
      <c r="G86" s="73" t="s">
        <v>239</v>
      </c>
      <c r="H86" s="74">
        <f>[1]!'@CTA[8-2-1-3-7-3721,F,2,#6]'</f>
        <v>5400</v>
      </c>
      <c r="I86" s="74">
        <f>[1]!'@CTA[8-2-3-3-7-3721,F,2,#6]'</f>
        <v>0</v>
      </c>
      <c r="J86" s="75">
        <f>[1]!'@CTA[8-2-1-3-7-3721,F,2,#6]'+[1]!'@CTA[8-2-3-3-7-3721,F,2,#6]'</f>
        <v>5400</v>
      </c>
      <c r="K86" s="76">
        <f>[1]!'@CTA[8-2-4-3-7-3721,J,2,#6]'</f>
        <v>0</v>
      </c>
      <c r="L86" s="76">
        <f>[1]!'@CTA[8-2-5-3-7-3721,J,2,#6]'</f>
        <v>0</v>
      </c>
      <c r="M86" s="76">
        <f>[1]!'@CTA[8-2-6-3-7-3721,J,2,#6]'</f>
        <v>0</v>
      </c>
      <c r="N86" s="74">
        <f>[1]!'@CTA[8-2-7-3-7-3721,F,2,#6]'</f>
        <v>-5.6843418860808015E-13</v>
      </c>
      <c r="O86" s="66">
        <f t="shared" si="6"/>
        <v>5400</v>
      </c>
    </row>
    <row r="87" spans="1:15" ht="108" x14ac:dyDescent="0.2">
      <c r="A87" s="67" t="s">
        <v>148</v>
      </c>
      <c r="B87" s="61" t="s">
        <v>152</v>
      </c>
      <c r="C87" s="61" t="s">
        <v>149</v>
      </c>
      <c r="D87" s="62" t="s">
        <v>150</v>
      </c>
      <c r="E87" s="71" t="s">
        <v>177</v>
      </c>
      <c r="F87" s="72">
        <v>3722</v>
      </c>
      <c r="G87" s="73" t="s">
        <v>240</v>
      </c>
      <c r="H87" s="74">
        <f>[1]!'@CTA[8-2-1-3-7-3722,F,2,#6]'</f>
        <v>0</v>
      </c>
      <c r="I87" s="74">
        <f>[1]!'@CTA[8-2-3-3-7-3722,F,2,#6]'</f>
        <v>0</v>
      </c>
      <c r="J87" s="75">
        <f>[1]!'@CTA[8-2-1-3-7-3722,F,2,#6]'+[1]!'@CTA[8-2-3-3-7-3722,F,2,#6]'</f>
        <v>0</v>
      </c>
      <c r="K87" s="76">
        <f>[1]!'@CTA[8-2-4-3-7-3722,J,2,#6]'</f>
        <v>0</v>
      </c>
      <c r="L87" s="76">
        <f>[1]!'@CTA[8-2-5-3-7-3722,J,2,#6]'</f>
        <v>0</v>
      </c>
      <c r="M87" s="76">
        <f>[1]!'@CTA[8-2-6-3-7-3722,J,2,#6]'</f>
        <v>0</v>
      </c>
      <c r="N87" s="74">
        <f>[1]!'@CTA[8-2-7-3-7-3722,F,2,#6]'</f>
        <v>0</v>
      </c>
      <c r="O87" s="66">
        <f t="shared" si="6"/>
        <v>0</v>
      </c>
    </row>
    <row r="88" spans="1:15" ht="108" x14ac:dyDescent="0.2">
      <c r="A88" s="67" t="s">
        <v>148</v>
      </c>
      <c r="B88" s="61" t="s">
        <v>152</v>
      </c>
      <c r="C88" s="61" t="s">
        <v>149</v>
      </c>
      <c r="D88" s="62" t="s">
        <v>150</v>
      </c>
      <c r="E88" s="71" t="s">
        <v>177</v>
      </c>
      <c r="F88" s="72">
        <v>3751</v>
      </c>
      <c r="G88" s="73" t="s">
        <v>241</v>
      </c>
      <c r="H88" s="74">
        <f>[1]!'@CTA[8-2-1-3-7-3751,F,2,#6]'</f>
        <v>10800</v>
      </c>
      <c r="I88" s="74">
        <f>[1]!'@CTA[8-2-3-3-7-3751,F,2,#6]'</f>
        <v>0</v>
      </c>
      <c r="J88" s="75">
        <f>[1]!'@CTA[8-2-1-3-7-3751,F,2,#6]'+[1]!'@CTA[8-2-3-3-7-3751,F,2,#6]'</f>
        <v>10800</v>
      </c>
      <c r="K88" s="76">
        <f>[1]!'@CTA[8-2-4-3-7-3751,J,2,#6]'</f>
        <v>644.55000000000007</v>
      </c>
      <c r="L88" s="76">
        <f>[1]!'@CTA[8-2-5-3-7-3751,J,2,#6]'</f>
        <v>644.55000000000007</v>
      </c>
      <c r="M88" s="76">
        <f>[1]!'@CTA[8-2-6-3-7-3751,J,2,#6]'</f>
        <v>644.55000000000007</v>
      </c>
      <c r="N88" s="74">
        <f>[1]!'@CTA[8-2-7-3-7-3751,F,2,#6]'</f>
        <v>644.55000000000007</v>
      </c>
      <c r="O88" s="66">
        <f t="shared" si="6"/>
        <v>10155.450000000001</v>
      </c>
    </row>
    <row r="89" spans="1:15" ht="108" x14ac:dyDescent="0.2">
      <c r="A89" s="67" t="s">
        <v>148</v>
      </c>
      <c r="B89" s="61" t="s">
        <v>152</v>
      </c>
      <c r="C89" s="61" t="s">
        <v>149</v>
      </c>
      <c r="D89" s="62" t="s">
        <v>150</v>
      </c>
      <c r="E89" s="71" t="s">
        <v>177</v>
      </c>
      <c r="F89" s="72">
        <v>3821</v>
      </c>
      <c r="G89" s="73" t="s">
        <v>242</v>
      </c>
      <c r="H89" s="74">
        <f>[1]!'@CTA[8-2-1-3-8-3821,F,2,#6]'</f>
        <v>0</v>
      </c>
      <c r="I89" s="74">
        <f>[1]!'@CTA[8-2-3-3-8-3821,F,2,#6]'</f>
        <v>0</v>
      </c>
      <c r="J89" s="75">
        <f>[1]!'@CTA[8-2-1-3-8-3821,F,2,#6]'+[1]!'@CTA[8-2-3-3-8-3821,F,2,#6]'</f>
        <v>0</v>
      </c>
      <c r="K89" s="76">
        <f>[1]!'@CTA[8-2-4-3-8-3821,J,2,#6]'</f>
        <v>0</v>
      </c>
      <c r="L89" s="76">
        <f>[1]!'@CTA[8-2-5-3-8-3821,J,2,#6]'</f>
        <v>0</v>
      </c>
      <c r="M89" s="76">
        <f>[1]!'@CTA[8-2-6-3-8-3821,J,2,#6]'</f>
        <v>0</v>
      </c>
      <c r="N89" s="74">
        <f>[1]!'@CTA[8-2-7-3-8-3821,F,2,#6]'</f>
        <v>0</v>
      </c>
      <c r="O89" s="66">
        <f t="shared" si="6"/>
        <v>0</v>
      </c>
    </row>
    <row r="90" spans="1:15" ht="108" x14ac:dyDescent="0.2">
      <c r="A90" s="67" t="s">
        <v>148</v>
      </c>
      <c r="B90" s="61" t="s">
        <v>152</v>
      </c>
      <c r="C90" s="61" t="s">
        <v>149</v>
      </c>
      <c r="D90" s="62" t="s">
        <v>150</v>
      </c>
      <c r="E90" s="71" t="s">
        <v>177</v>
      </c>
      <c r="F90" s="72">
        <v>3822</v>
      </c>
      <c r="G90" s="73" t="s">
        <v>243</v>
      </c>
      <c r="H90" s="74">
        <f>[1]!'@CTA[8-2-1-3-8-3822,F,2,#6]'</f>
        <v>0</v>
      </c>
      <c r="I90" s="74">
        <f>[1]!'@CTA[8-2-3-3-8-3822,F,2,#6]'</f>
        <v>0</v>
      </c>
      <c r="J90" s="75">
        <f>[1]!'@CTA[8-2-1-3-8-3822,F,2,#6]'+[1]!'@CTA[8-2-3-3-8-3822,F,2,#6]'</f>
        <v>0</v>
      </c>
      <c r="K90" s="76">
        <f>[1]!'@CTA[8-2-4-3-8-3822,J,2,#6]'</f>
        <v>0</v>
      </c>
      <c r="L90" s="76">
        <f>[1]!'@CTA[8-2-5-3-8-3822,J,2,#6]'</f>
        <v>0</v>
      </c>
      <c r="M90" s="76">
        <f>[1]!'@CTA[8-2-6-3-8-3822,J,2,#6]'</f>
        <v>0</v>
      </c>
      <c r="N90" s="74">
        <f>[1]!'@CTA[8-2-7-3-8-3822,F,2,#6]'</f>
        <v>0</v>
      </c>
      <c r="O90" s="66">
        <f t="shared" si="6"/>
        <v>0</v>
      </c>
    </row>
    <row r="91" spans="1:15" ht="108" x14ac:dyDescent="0.2">
      <c r="A91" s="67" t="s">
        <v>148</v>
      </c>
      <c r="B91" s="61" t="s">
        <v>152</v>
      </c>
      <c r="C91" s="61" t="s">
        <v>149</v>
      </c>
      <c r="D91" s="62" t="s">
        <v>150</v>
      </c>
      <c r="E91" s="71" t="s">
        <v>177</v>
      </c>
      <c r="F91" s="72">
        <v>3831</v>
      </c>
      <c r="G91" s="73" t="s">
        <v>244</v>
      </c>
      <c r="H91" s="74">
        <f>[1]!'@CTA[8-2-1-3-8-3831,F,2,#6]'</f>
        <v>0</v>
      </c>
      <c r="I91" s="74">
        <f>[1]!'@CTA[8-2-3-3-8-3831,F,2,#6]'</f>
        <v>0</v>
      </c>
      <c r="J91" s="75">
        <f>[1]!'@CTA[8-2-1-3-8-3831,F,2,#6]'+[1]!'@CTA[8-2-3-3-8-3831,F,2,#6]'</f>
        <v>0</v>
      </c>
      <c r="K91" s="76">
        <f>[1]!'@CTA[8-2-4-3-8-3831,J,2,#6]'</f>
        <v>0</v>
      </c>
      <c r="L91" s="76">
        <f>[1]!'@CTA[8-2-5-3-8-3831,J,2,#6]'</f>
        <v>0</v>
      </c>
      <c r="M91" s="76">
        <f>[1]!'@CTA[8-2-6-3-8-3831,J,2,#6]'</f>
        <v>0</v>
      </c>
      <c r="N91" s="74">
        <f>[1]!'@CTA[8-2-7-3-8-3831,F,2,#6]'</f>
        <v>0</v>
      </c>
      <c r="O91" s="66">
        <f t="shared" si="6"/>
        <v>0</v>
      </c>
    </row>
    <row r="92" spans="1:15" ht="108" x14ac:dyDescent="0.2">
      <c r="A92" s="67" t="s">
        <v>148</v>
      </c>
      <c r="B92" s="61" t="s">
        <v>152</v>
      </c>
      <c r="C92" s="61" t="s">
        <v>149</v>
      </c>
      <c r="D92" s="62" t="s">
        <v>150</v>
      </c>
      <c r="E92" s="71" t="s">
        <v>177</v>
      </c>
      <c r="F92" s="72">
        <v>3851</v>
      </c>
      <c r="G92" s="73" t="s">
        <v>245</v>
      </c>
      <c r="H92" s="74">
        <f>[1]!'@CTA[8-2-1-3-8-3851,F,2,#6]'</f>
        <v>18000</v>
      </c>
      <c r="I92" s="74">
        <f>[1]!'@CTA[8-2-3-3-8-3851,F,2,#6]'</f>
        <v>0</v>
      </c>
      <c r="J92" s="75">
        <f>[1]!'@CTA[8-2-1-3-8-3851,F,2,#6]'+[1]!'@CTA[8-2-3-3-8-3851,F,2,#6]'</f>
        <v>18000</v>
      </c>
      <c r="K92" s="76">
        <f>[1]!'@CTA[8-2-4-3-8-3851,J,2,#6]'</f>
        <v>862.07</v>
      </c>
      <c r="L92" s="76">
        <f>[1]!'@CTA[8-2-5-3-8-3851,J,2,#6]'</f>
        <v>862.07</v>
      </c>
      <c r="M92" s="76">
        <f>[1]!'@CTA[8-2-6-3-8-3851,J,2,#6]'</f>
        <v>862.07</v>
      </c>
      <c r="N92" s="74">
        <f>[1]!'@CTA[8-2-7-3-8-3851,F,2,#6]'</f>
        <v>862.06999999999732</v>
      </c>
      <c r="O92" s="66">
        <f t="shared" si="6"/>
        <v>17137.93</v>
      </c>
    </row>
    <row r="93" spans="1:15" ht="108" x14ac:dyDescent="0.2">
      <c r="A93" s="67" t="s">
        <v>148</v>
      </c>
      <c r="B93" s="61" t="s">
        <v>152</v>
      </c>
      <c r="C93" s="61" t="s">
        <v>149</v>
      </c>
      <c r="D93" s="62" t="s">
        <v>150</v>
      </c>
      <c r="E93" s="71" t="s">
        <v>177</v>
      </c>
      <c r="F93" s="72">
        <v>3921</v>
      </c>
      <c r="G93" s="73" t="s">
        <v>246</v>
      </c>
      <c r="H93" s="74">
        <f>[1]!'@CTA[8-2-1-3-9-3921,F,2,#6]'</f>
        <v>0</v>
      </c>
      <c r="I93" s="74">
        <f>[1]!'@CTA[8-2-3-3-9-3921,F,2,#6]'</f>
        <v>0</v>
      </c>
      <c r="J93" s="75">
        <f>[1]!'@CTA[8-2-1-3-9-3921,F,2,#6]'+[1]!'@CTA[8-2-3-3-9-3921,F,2,#6]'</f>
        <v>0</v>
      </c>
      <c r="K93" s="76">
        <f>[1]!'@CTA[8-2-4-3-9-3921,J,2,#6]'</f>
        <v>0</v>
      </c>
      <c r="L93" s="76">
        <f>[1]!'@CTA[8-2-5-3-9-3921,J,2,#6]'</f>
        <v>0</v>
      </c>
      <c r="M93" s="76">
        <f>[1]!'@CTA[8-2-6-3-9-3921,J,2,#6]'</f>
        <v>0</v>
      </c>
      <c r="N93" s="74">
        <f>[1]!'@CTA[8-2-7-3-9-3921,F,2,#6]'</f>
        <v>0</v>
      </c>
      <c r="O93" s="66">
        <f t="shared" si="6"/>
        <v>0</v>
      </c>
    </row>
    <row r="94" spans="1:15" ht="108" x14ac:dyDescent="0.2">
      <c r="A94" s="67" t="s">
        <v>148</v>
      </c>
      <c r="B94" s="61" t="s">
        <v>152</v>
      </c>
      <c r="C94" s="61" t="s">
        <v>149</v>
      </c>
      <c r="D94" s="62" t="s">
        <v>150</v>
      </c>
      <c r="E94" s="71" t="s">
        <v>177</v>
      </c>
      <c r="F94" s="72">
        <v>3922</v>
      </c>
      <c r="G94" s="73" t="s">
        <v>247</v>
      </c>
      <c r="H94" s="74">
        <f>[1]!'@CTA[8-2-1-3-9-3922,F,2,#6]'</f>
        <v>0</v>
      </c>
      <c r="I94" s="74">
        <f>[1]!'@CTA[8-2-3-3-9-3922,F,2,#6]'</f>
        <v>0</v>
      </c>
      <c r="J94" s="75">
        <f>[1]!'@CTA[8-2-1-3-9-3922,F,2,#6]'+[1]!'@CTA[8-2-3-3-9-3922,F,2,#6]'</f>
        <v>0</v>
      </c>
      <c r="K94" s="76">
        <f>[1]!'@CTA[8-2-4-3-9-3922,J,2,#6]'</f>
        <v>0</v>
      </c>
      <c r="L94" s="76">
        <f>[1]!'@CTA[8-2-5-3-9-3922,J,2,#6]'</f>
        <v>0</v>
      </c>
      <c r="M94" s="76">
        <f>[1]!'@CTA[8-2-6-3-9-3922,J,2,#6]'</f>
        <v>0</v>
      </c>
      <c r="N94" s="74">
        <f>[1]!'@CTA[8-2-7-3-9-3922,F,2,#6]'</f>
        <v>0</v>
      </c>
      <c r="O94" s="66">
        <f t="shared" si="6"/>
        <v>0</v>
      </c>
    </row>
    <row r="95" spans="1:15" ht="108" x14ac:dyDescent="0.2">
      <c r="A95" s="67" t="s">
        <v>148</v>
      </c>
      <c r="B95" s="61" t="s">
        <v>152</v>
      </c>
      <c r="C95" s="61" t="s">
        <v>149</v>
      </c>
      <c r="D95" s="62" t="s">
        <v>150</v>
      </c>
      <c r="E95" s="71" t="s">
        <v>177</v>
      </c>
      <c r="F95" s="72">
        <v>3923</v>
      </c>
      <c r="G95" s="73" t="s">
        <v>248</v>
      </c>
      <c r="H95" s="74">
        <f>[1]!'@CTA[8-2-1-3-9-3923,F,2,#6]'</f>
        <v>431</v>
      </c>
      <c r="I95" s="74">
        <f>[1]!'@CTA[8-2-3-3-9-3923,F,2,#6]'</f>
        <v>0</v>
      </c>
      <c r="J95" s="75">
        <f>[1]!'@CTA[8-2-1-3-9-3923,F,2,#6]'+[1]!'@CTA[8-2-3-3-9-3923,F,2,#6]'</f>
        <v>431</v>
      </c>
      <c r="K95" s="76">
        <f>[1]!'@CTA[8-2-4-3-9-3923,J,2,#6]'</f>
        <v>431</v>
      </c>
      <c r="L95" s="76">
        <f>[1]!'@CTA[8-2-5-3-9-3923,J,2,#6]'</f>
        <v>431</v>
      </c>
      <c r="M95" s="76">
        <f>[1]!'@CTA[8-2-6-3-9-3923,J,2,#6]'</f>
        <v>431</v>
      </c>
      <c r="N95" s="74">
        <f>[1]!'@CTA[8-2-7-3-9-3923,F,2,#6]'</f>
        <v>431</v>
      </c>
      <c r="O95" s="66">
        <f t="shared" si="6"/>
        <v>0</v>
      </c>
    </row>
    <row r="96" spans="1:15" ht="108" x14ac:dyDescent="0.2">
      <c r="A96" s="67" t="s">
        <v>148</v>
      </c>
      <c r="B96" s="61" t="s">
        <v>152</v>
      </c>
      <c r="C96" s="61" t="s">
        <v>149</v>
      </c>
      <c r="D96" s="62" t="s">
        <v>150</v>
      </c>
      <c r="E96" s="71" t="s">
        <v>177</v>
      </c>
      <c r="F96" s="72">
        <v>3924</v>
      </c>
      <c r="G96" s="73" t="s">
        <v>249</v>
      </c>
      <c r="H96" s="74">
        <f>[1]!'@CTA[8-2-1-3-9-3924,F,2,#6]'</f>
        <v>0</v>
      </c>
      <c r="I96" s="74">
        <f>[1]!'@CTA[8-2-3-3-9-3924,F,2,#6]'</f>
        <v>0</v>
      </c>
      <c r="J96" s="75">
        <f>[1]!'@CTA[8-2-1-3-9-3924,F,2,#6]'+[1]!'@CTA[8-2-3-3-9-3924,F,2,#6]'</f>
        <v>0</v>
      </c>
      <c r="K96" s="76">
        <f>[1]!'@CTA[8-2-4-3-9-3924,J,2,#6]'</f>
        <v>0</v>
      </c>
      <c r="L96" s="76">
        <f>[1]!'@CTA[8-2-5-3-9-3924,J,2,#6]'</f>
        <v>0</v>
      </c>
      <c r="M96" s="76">
        <f>[1]!'@CTA[8-2-6-3-9-3924,J,2,#6]'</f>
        <v>0</v>
      </c>
      <c r="N96" s="74">
        <f>[1]!'@CTA[8-2-7-3-9-3924,F,2,#6]'</f>
        <v>0</v>
      </c>
      <c r="O96" s="66">
        <f t="shared" si="6"/>
        <v>0</v>
      </c>
    </row>
    <row r="97" spans="1:15" ht="108" x14ac:dyDescent="0.2">
      <c r="A97" s="67" t="s">
        <v>148</v>
      </c>
      <c r="B97" s="61" t="s">
        <v>152</v>
      </c>
      <c r="C97" s="61" t="s">
        <v>149</v>
      </c>
      <c r="D97" s="62" t="s">
        <v>150</v>
      </c>
      <c r="E97" s="71" t="s">
        <v>177</v>
      </c>
      <c r="F97" s="72">
        <v>3925</v>
      </c>
      <c r="G97" s="73" t="s">
        <v>250</v>
      </c>
      <c r="H97" s="74">
        <f>[1]!'@CTA[8-2-1-3-9-3925,F,2,#6]'</f>
        <v>489</v>
      </c>
      <c r="I97" s="74">
        <f>[1]!'@CTA[8-2-3-3-9-3925,F,2,#6]'</f>
        <v>0</v>
      </c>
      <c r="J97" s="75">
        <f>[1]!'@CTA[8-2-1-3-9-3925,F,2,#6]'+[1]!'@CTA[8-2-3-3-9-3925,F,2,#6]'</f>
        <v>489</v>
      </c>
      <c r="K97" s="76">
        <f>[1]!'@CTA[8-2-4-3-9-3925,J,2,#6]'</f>
        <v>202.59</v>
      </c>
      <c r="L97" s="76">
        <f>[1]!'@CTA[8-2-5-3-9-3925,J,2,#6]'</f>
        <v>202.59</v>
      </c>
      <c r="M97" s="76">
        <f>[1]!'@CTA[8-2-6-3-9-3925,J,2,#6]'</f>
        <v>202.59</v>
      </c>
      <c r="N97" s="74">
        <f>[1]!'@CTA[8-2-7-3-9-3925,F,2,#6]'</f>
        <v>202.59000000000177</v>
      </c>
      <c r="O97" s="66">
        <f t="shared" si="6"/>
        <v>286.40999999999997</v>
      </c>
    </row>
    <row r="98" spans="1:15" ht="108" x14ac:dyDescent="0.2">
      <c r="A98" s="67" t="s">
        <v>148</v>
      </c>
      <c r="B98" s="61" t="s">
        <v>152</v>
      </c>
      <c r="C98" s="61" t="s">
        <v>149</v>
      </c>
      <c r="D98" s="62" t="s">
        <v>150</v>
      </c>
      <c r="E98" s="71" t="s">
        <v>177</v>
      </c>
      <c r="F98" s="72">
        <v>3926</v>
      </c>
      <c r="G98" s="73" t="s">
        <v>251</v>
      </c>
      <c r="H98" s="74">
        <f>[1]!'@CTA[8-2-1-3-9-3926,F,2,#6]'</f>
        <v>0</v>
      </c>
      <c r="I98" s="74">
        <f>[1]!'@CTA[8-2-3-3-9-3926,F,2,#6]'</f>
        <v>0</v>
      </c>
      <c r="J98" s="75">
        <f>[1]!'@CTA[8-2-1-3-9-3926,F,2,#6]'+[1]!'@CTA[8-2-3-3-9-3926,F,2,#6]'</f>
        <v>0</v>
      </c>
      <c r="K98" s="76">
        <f>[1]!'@CTA[8-2-4-3-9-3926,J,2,#6]'</f>
        <v>0</v>
      </c>
      <c r="L98" s="76">
        <f>[1]!'@CTA[8-2-5-3-9-3926,J,2,#6]'</f>
        <v>0</v>
      </c>
      <c r="M98" s="76">
        <f>[1]!'@CTA[8-2-6-3-9-3926,J,2,#6]'</f>
        <v>0</v>
      </c>
      <c r="N98" s="74">
        <f>[1]!'@CTA[8-2-7-3-9-3926,F,2,#6]'</f>
        <v>0</v>
      </c>
      <c r="O98" s="66">
        <f t="shared" si="6"/>
        <v>0</v>
      </c>
    </row>
    <row r="99" spans="1:15" ht="108" x14ac:dyDescent="0.2">
      <c r="A99" s="67" t="s">
        <v>148</v>
      </c>
      <c r="B99" s="61" t="s">
        <v>152</v>
      </c>
      <c r="C99" s="61" t="s">
        <v>149</v>
      </c>
      <c r="D99" s="62" t="s">
        <v>150</v>
      </c>
      <c r="E99" s="71" t="s">
        <v>177</v>
      </c>
      <c r="F99" s="72">
        <v>3961</v>
      </c>
      <c r="G99" s="73" t="s">
        <v>252</v>
      </c>
      <c r="H99" s="74">
        <f>[1]!'@CTA[8-2-1-3-9-3961,F,2,#6]'</f>
        <v>12000</v>
      </c>
      <c r="I99" s="74">
        <f>[1]!'@CTA[8-2-3-3-9-3961,F,2,#6]'</f>
        <v>0</v>
      </c>
      <c r="J99" s="75">
        <f>[1]!'@CTA[8-2-1-3-9-3961,F,2,#6]'+[1]!'@CTA[8-2-3-3-9-3961,F,2,#6]'</f>
        <v>12000</v>
      </c>
      <c r="K99" s="76">
        <f>[1]!'@CTA[8-2-4-3-9-3961,J,2,#6]'</f>
        <v>0</v>
      </c>
      <c r="L99" s="76">
        <f>[1]!'@CTA[8-2-5-3-9-3961,J,2,#6]'</f>
        <v>0</v>
      </c>
      <c r="M99" s="76">
        <f>[1]!'@CTA[8-2-6-3-9-3961,J,2,#6]'</f>
        <v>0</v>
      </c>
      <c r="N99" s="74">
        <f>[1]!'@CTA[8-2-7-3-9-3961,F,2,#6]'</f>
        <v>0</v>
      </c>
      <c r="O99" s="66">
        <f t="shared" si="6"/>
        <v>12000</v>
      </c>
    </row>
    <row r="100" spans="1:15" ht="108" x14ac:dyDescent="0.2">
      <c r="A100" s="67" t="s">
        <v>148</v>
      </c>
      <c r="B100" s="61" t="s">
        <v>152</v>
      </c>
      <c r="C100" s="61" t="s">
        <v>149</v>
      </c>
      <c r="D100" s="62" t="s">
        <v>150</v>
      </c>
      <c r="E100" s="71" t="s">
        <v>177</v>
      </c>
      <c r="F100" s="72">
        <v>3962</v>
      </c>
      <c r="G100" s="73" t="s">
        <v>253</v>
      </c>
      <c r="H100" s="74">
        <f>[1]!'@CTA[8-2-1-3-9-3962,F,2,#6]'</f>
        <v>0</v>
      </c>
      <c r="I100" s="74">
        <f>[1]!'@CTA[8-2-3-3-9-3962,F,2,#6]'</f>
        <v>0</v>
      </c>
      <c r="J100" s="75">
        <f>[1]!'@CTA[8-2-1-3-9-3962,F,2,#6]'+[1]!'@CTA[8-2-3-3-9-3962,F,2,#6]'</f>
        <v>0</v>
      </c>
      <c r="K100" s="76">
        <f>[1]!'@CTA[8-2-4-3-9-3962,J,2,#6]'</f>
        <v>0</v>
      </c>
      <c r="L100" s="76">
        <f>[1]!'@CTA[8-2-5-3-9-3962,J,2,#6]'</f>
        <v>0</v>
      </c>
      <c r="M100" s="76">
        <f>[1]!'@CTA[8-2-6-3-9-3962,J,2,#6]'</f>
        <v>0</v>
      </c>
      <c r="N100" s="74">
        <f>[1]!'@CTA[8-2-7-3-9-3962,F,2,#6]'</f>
        <v>0</v>
      </c>
      <c r="O100" s="66">
        <f t="shared" si="6"/>
        <v>0</v>
      </c>
    </row>
    <row r="101" spans="1:15" ht="108" x14ac:dyDescent="0.2">
      <c r="A101" s="67" t="s">
        <v>148</v>
      </c>
      <c r="B101" s="61" t="s">
        <v>152</v>
      </c>
      <c r="C101" s="61" t="s">
        <v>149</v>
      </c>
      <c r="D101" s="62" t="s">
        <v>150</v>
      </c>
      <c r="E101" s="71" t="s">
        <v>254</v>
      </c>
      <c r="F101" s="72">
        <v>3981</v>
      </c>
      <c r="G101" s="73" t="s">
        <v>255</v>
      </c>
      <c r="H101" s="74">
        <f>[1]!'@CTA[8-2-1-3-9-3981,F,2,#6]'</f>
        <v>14519</v>
      </c>
      <c r="I101" s="74">
        <f>[1]!'@CTA[8-2-3-3-9-3981,F,2,#6]'</f>
        <v>2319.2800000000002</v>
      </c>
      <c r="J101" s="75">
        <f>[1]!'@CTA[8-2-1-3-9-3981,F,2,#6]'+[1]!'@CTA[8-2-3-3-9-3981,F,2,#6]'</f>
        <v>16838.28</v>
      </c>
      <c r="K101" s="76">
        <f>[1]!'@CTA[8-2-4-3-9-3981,J,2,#6]'</f>
        <v>5578.25</v>
      </c>
      <c r="L101" s="76">
        <f>[1]!'@CTA[8-2-5-3-9-3981,J,2,#6]'</f>
        <v>5578.25</v>
      </c>
      <c r="M101" s="76">
        <f>[1]!'@CTA[8-2-6-3-9-3981,J,2,#6]'</f>
        <v>5578.25</v>
      </c>
      <c r="N101" s="74">
        <f>[1]!'@CTA[8-2-7-3-9-3981,F,2,#6]'</f>
        <v>3579.3100000000072</v>
      </c>
      <c r="O101" s="66">
        <f t="shared" si="6"/>
        <v>11260.029999999999</v>
      </c>
    </row>
    <row r="102" spans="1:15" ht="108" x14ac:dyDescent="0.2">
      <c r="A102" s="67" t="s">
        <v>148</v>
      </c>
      <c r="B102" s="61"/>
      <c r="C102" s="61" t="s">
        <v>149</v>
      </c>
      <c r="D102" s="62" t="s">
        <v>150</v>
      </c>
      <c r="E102" s="61"/>
      <c r="F102" s="63">
        <v>5000</v>
      </c>
      <c r="G102" s="77" t="s">
        <v>256</v>
      </c>
      <c r="H102" s="69">
        <f>SUBTOTAL(9,H103:H114)</f>
        <v>760173</v>
      </c>
      <c r="I102" s="69">
        <f>SUBTOTAL(9,I103:I114)</f>
        <v>0</v>
      </c>
      <c r="J102" s="69">
        <f>SUBTOTAL(9,J103:J114)</f>
        <v>760173</v>
      </c>
      <c r="K102" s="70">
        <f>SUBTOTAL(9,K103:K113)</f>
        <v>0</v>
      </c>
      <c r="L102" s="70">
        <f>SUBTOTAL(9,L103:L113)</f>
        <v>0</v>
      </c>
      <c r="M102" s="70">
        <f>SUBTOTAL(9,M103:M113)</f>
        <v>0</v>
      </c>
      <c r="N102" s="69">
        <f>SUBTOTAL(9,N103:N113)</f>
        <v>0</v>
      </c>
      <c r="O102" s="66">
        <f t="shared" si="6"/>
        <v>760173</v>
      </c>
    </row>
    <row r="103" spans="1:15" ht="108" x14ac:dyDescent="0.2">
      <c r="A103" s="67" t="s">
        <v>148</v>
      </c>
      <c r="B103" s="61" t="s">
        <v>152</v>
      </c>
      <c r="C103" s="61" t="s">
        <v>149</v>
      </c>
      <c r="D103" s="62" t="s">
        <v>150</v>
      </c>
      <c r="E103" s="71" t="s">
        <v>257</v>
      </c>
      <c r="F103" s="72">
        <v>5111</v>
      </c>
      <c r="G103" s="73" t="s">
        <v>258</v>
      </c>
      <c r="H103" s="74">
        <f>[1]!'@CTA[8-2-1-5-1-5111,F,2,#6]'</f>
        <v>5600</v>
      </c>
      <c r="I103" s="74">
        <f>[1]!'@CTA[8-2-3-5-1-5111,F,2,#6]'</f>
        <v>0</v>
      </c>
      <c r="J103" s="75">
        <f>[1]!'@CTA[8-2-1-5-1-5111,F,2,#6]'+[1]!'@CTA[8-2-3-5-1-5111,F,2,#6]'</f>
        <v>5600</v>
      </c>
      <c r="K103" s="76">
        <f>[1]!'@CTA[8-2-4-5-1-5111,J,2,#6]'</f>
        <v>0</v>
      </c>
      <c r="L103" s="76">
        <f>[1]!'@CTA[8-2-5-5-1-5111,J,2,#6]'</f>
        <v>0</v>
      </c>
      <c r="M103" s="76">
        <f>[1]!'@CTA[8-2-6-5-1-5111,J,2,#6]'</f>
        <v>0</v>
      </c>
      <c r="N103" s="74">
        <f>[1]!'@CTA[8-2-7-5-1-5111,F,2,#6]'</f>
        <v>0</v>
      </c>
      <c r="O103" s="66">
        <f t="shared" si="6"/>
        <v>5600</v>
      </c>
    </row>
    <row r="104" spans="1:15" ht="108" x14ac:dyDescent="0.2">
      <c r="A104" s="67" t="s">
        <v>148</v>
      </c>
      <c r="B104" s="61" t="s">
        <v>152</v>
      </c>
      <c r="C104" s="61" t="s">
        <v>149</v>
      </c>
      <c r="D104" s="62" t="s">
        <v>150</v>
      </c>
      <c r="E104" s="71" t="s">
        <v>259</v>
      </c>
      <c r="F104" s="72">
        <v>5151</v>
      </c>
      <c r="G104" s="73" t="s">
        <v>260</v>
      </c>
      <c r="H104" s="74">
        <f>[1]!'@CTA[8-2-1-5-1-5151,F,2,#6]'</f>
        <v>0</v>
      </c>
      <c r="I104" s="74">
        <f>[1]!'@CTA[8-2-3-5-1-5151,F,2,#6]'</f>
        <v>0</v>
      </c>
      <c r="J104" s="75">
        <f>[1]!'@CTA[8-2-1-5-1-5151,F,2,#6]'+[1]!'@CTA[8-2-3-5-1-5151,F,2,#6]'</f>
        <v>0</v>
      </c>
      <c r="K104" s="76">
        <f>[1]!'@CTA[8-2-4-5-1-5151,J,2,#6]'</f>
        <v>0</v>
      </c>
      <c r="L104" s="76">
        <f>[1]!'@CTA[8-2-5-5-1-5151,J,2,#6]'</f>
        <v>0</v>
      </c>
      <c r="M104" s="76">
        <f>[1]!'@CTA[8-2-6-5-1-5151,J,2,#6]'</f>
        <v>0</v>
      </c>
      <c r="N104" s="74">
        <f>[1]!'@CTA[8-2-7-5-1-5151,F,2,#6]'</f>
        <v>0</v>
      </c>
      <c r="O104" s="66">
        <f t="shared" si="6"/>
        <v>0</v>
      </c>
    </row>
    <row r="105" spans="1:15" ht="108" x14ac:dyDescent="0.2">
      <c r="A105" s="67" t="s">
        <v>148</v>
      </c>
      <c r="B105" s="61" t="s">
        <v>152</v>
      </c>
      <c r="C105" s="61" t="s">
        <v>149</v>
      </c>
      <c r="D105" s="62" t="s">
        <v>150</v>
      </c>
      <c r="E105" s="71" t="s">
        <v>259</v>
      </c>
      <c r="F105" s="72">
        <v>5152</v>
      </c>
      <c r="G105" s="73" t="s">
        <v>261</v>
      </c>
      <c r="H105" s="74">
        <f>[1]!'@CTA[8-2-1-5-1-5152,F,2,#6]'</f>
        <v>0</v>
      </c>
      <c r="I105" s="74">
        <f>[1]!'@CTA[8-2-3-5-1-5152,F,2,#6]'</f>
        <v>0</v>
      </c>
      <c r="J105" s="75">
        <f>[1]!'@CTA[8-2-1-5-1-5152,F,2,#6]'+[1]!'@CTA[8-2-3-5-1-5152,F,2,#6]'</f>
        <v>0</v>
      </c>
      <c r="K105" s="76">
        <f>[1]!'@CTA[8-2-4-5-1-5152,J,2,#6]'</f>
        <v>0</v>
      </c>
      <c r="L105" s="76">
        <f>[1]!'@CTA[8-2-5-5-1-5152,J,2,#6]'</f>
        <v>0</v>
      </c>
      <c r="M105" s="76">
        <f>[1]!'@CTA[8-2-6-5-1-5152,J,2,#6]'</f>
        <v>0</v>
      </c>
      <c r="N105" s="74">
        <f>[1]!'@CTA[8-2-7-5-1-5152,F,2,#6]'</f>
        <v>0</v>
      </c>
      <c r="O105" s="66">
        <f t="shared" si="6"/>
        <v>0</v>
      </c>
    </row>
    <row r="106" spans="1:15" ht="108" x14ac:dyDescent="0.2">
      <c r="A106" s="67" t="s">
        <v>148</v>
      </c>
      <c r="B106" s="61" t="s">
        <v>152</v>
      </c>
      <c r="C106" s="61" t="s">
        <v>149</v>
      </c>
      <c r="D106" s="62" t="s">
        <v>150</v>
      </c>
      <c r="E106" s="71" t="s">
        <v>259</v>
      </c>
      <c r="F106" s="72">
        <v>5153</v>
      </c>
      <c r="G106" s="73" t="s">
        <v>262</v>
      </c>
      <c r="H106" s="74">
        <f>[1]!'@CTA[8-2-1-5-1-5153,F,2,#6]'</f>
        <v>0</v>
      </c>
      <c r="I106" s="74">
        <f>[1]!'@CTA[8-2-3-5-1-5153,F,2,#6]'</f>
        <v>0</v>
      </c>
      <c r="J106" s="75">
        <f>[1]!'@CTA[8-2-1-5-1-5153,F,2,#6]'+[1]!'@CTA[8-2-3-5-1-5153,F,2,#6]'</f>
        <v>0</v>
      </c>
      <c r="K106" s="76">
        <f>[1]!'@CTA[8-2-4-5-1-5153,J,2,#6]'</f>
        <v>0</v>
      </c>
      <c r="L106" s="76">
        <f>[1]!'@CTA[8-2-5-5-1-5153,J,2,#6]'</f>
        <v>0</v>
      </c>
      <c r="M106" s="76">
        <f>[1]!'@CTA[8-2-6-5-1-5153,J,2,#6]'</f>
        <v>0</v>
      </c>
      <c r="N106" s="74">
        <f>[1]!'@CTA[8-2-7-5-1-5153,F,2,#6]'</f>
        <v>0</v>
      </c>
      <c r="O106" s="66">
        <f t="shared" si="6"/>
        <v>0</v>
      </c>
    </row>
    <row r="107" spans="1:15" ht="108" x14ac:dyDescent="0.2">
      <c r="A107" s="67" t="s">
        <v>148</v>
      </c>
      <c r="B107" s="61" t="s">
        <v>152</v>
      </c>
      <c r="C107" s="61" t="s">
        <v>149</v>
      </c>
      <c r="D107" s="62" t="s">
        <v>150</v>
      </c>
      <c r="E107" s="71" t="s">
        <v>257</v>
      </c>
      <c r="F107" s="72">
        <v>5231</v>
      </c>
      <c r="G107" s="73" t="s">
        <v>263</v>
      </c>
      <c r="H107" s="74">
        <f>[1]!'@CTA[8-2-1-5-2-5231,F,2,#6]'</f>
        <v>0</v>
      </c>
      <c r="I107" s="74">
        <f>[1]!'@CTA[8-2-3-5-2-5231,F,2,#6]'</f>
        <v>0</v>
      </c>
      <c r="J107" s="75">
        <f>[1]!'@CTA[8-2-1-5-2-5231,F,2,#6]'+[1]!'@CTA[8-2-3-5-2-5231,F,2,#6]'</f>
        <v>0</v>
      </c>
      <c r="K107" s="76">
        <f>[1]!'@CTA[8-2-4-5-2-5231,J,2,#6]'</f>
        <v>0</v>
      </c>
      <c r="L107" s="76">
        <f>[1]!'@CTA[8-2-5-5-2-5231,J,2,#6]'</f>
        <v>0</v>
      </c>
      <c r="M107" s="76">
        <f>[1]!'@CTA[8-2-6-5-2-5231,J,2,#6]'</f>
        <v>0</v>
      </c>
      <c r="N107" s="74">
        <f>[1]!'@CTA[8-2-7-5-2-5231,F,2,#6]'</f>
        <v>0</v>
      </c>
      <c r="O107" s="66">
        <f t="shared" si="6"/>
        <v>0</v>
      </c>
    </row>
    <row r="108" spans="1:15" ht="108" x14ac:dyDescent="0.2">
      <c r="A108" s="67" t="s">
        <v>148</v>
      </c>
      <c r="B108" s="61" t="s">
        <v>152</v>
      </c>
      <c r="C108" s="61" t="s">
        <v>149</v>
      </c>
      <c r="D108" s="62" t="s">
        <v>150</v>
      </c>
      <c r="E108" s="71" t="s">
        <v>264</v>
      </c>
      <c r="F108" s="72">
        <v>5411</v>
      </c>
      <c r="G108" s="73" t="s">
        <v>265</v>
      </c>
      <c r="H108" s="74">
        <f>[1]!'@CTA[8-2-1-5-4-5411,F,2,#6]'</f>
        <v>0</v>
      </c>
      <c r="I108" s="74">
        <f>[1]!'@CTA[8-2-3-5-4-5411,F,2,#6]'</f>
        <v>0</v>
      </c>
      <c r="J108" s="75">
        <f>[1]!'@CTA[8-2-1-5-4-5411,F,2,#6]'+[1]!'@CTA[8-2-3-5-4-5411,F,2,#6]'</f>
        <v>0</v>
      </c>
      <c r="K108" s="76">
        <f>[1]!'@CTA[8-2-4-5-4-5411,J,2,#6]'</f>
        <v>0</v>
      </c>
      <c r="L108" s="76">
        <f>[1]!'@CTA[8-2-5-5-4-5411,J,2,#6]'</f>
        <v>0</v>
      </c>
      <c r="M108" s="76">
        <f>[1]!'@CTA[8-2-6-5-4-5411,J,2,#6]'</f>
        <v>0</v>
      </c>
      <c r="N108" s="74">
        <f>[1]!'@CTA[8-2-7-5-4-5411,F,2,#6]'</f>
        <v>0</v>
      </c>
      <c r="O108" s="66">
        <f t="shared" si="6"/>
        <v>0</v>
      </c>
    </row>
    <row r="109" spans="1:15" ht="108" x14ac:dyDescent="0.2">
      <c r="A109" s="67" t="s">
        <v>148</v>
      </c>
      <c r="B109" s="61" t="s">
        <v>152</v>
      </c>
      <c r="C109" s="61" t="s">
        <v>149</v>
      </c>
      <c r="D109" s="62" t="s">
        <v>150</v>
      </c>
      <c r="E109" s="71" t="s">
        <v>264</v>
      </c>
      <c r="F109" s="72">
        <v>5491</v>
      </c>
      <c r="G109" s="73" t="s">
        <v>266</v>
      </c>
      <c r="H109" s="74">
        <f>[1]!'@CTA[8-2-1-5-4-5491,F,2,#6]'</f>
        <v>0</v>
      </c>
      <c r="I109" s="74">
        <f>[1]!'@CTA[8-2-3-5-4-5491,F,2,#6]'</f>
        <v>0</v>
      </c>
      <c r="J109" s="75">
        <f>[1]!'@CTA[8-2-1-5-4-5491,F,2,#6]'+[1]!'@CTA[8-2-3-5-4-5491,F,2,#6]'</f>
        <v>0</v>
      </c>
      <c r="K109" s="76">
        <f>[1]!'@CTA[8-2-4-5-4-5491,J,2,#6]'</f>
        <v>0</v>
      </c>
      <c r="L109" s="76">
        <f>[1]!'@CTA[8-2-5-5-4-5491,J,2,#6]'</f>
        <v>0</v>
      </c>
      <c r="M109" s="76">
        <f>[1]!'@CTA[8-2-6-5-4-5491,J,2,#6]'</f>
        <v>0</v>
      </c>
      <c r="N109" s="74">
        <f>[1]!'@CTA[8-2-7-5-4-5491,F,2,#6]'</f>
        <v>0</v>
      </c>
      <c r="O109" s="66">
        <f t="shared" si="6"/>
        <v>0</v>
      </c>
    </row>
    <row r="110" spans="1:15" ht="108" x14ac:dyDescent="0.2">
      <c r="A110" s="67" t="s">
        <v>148</v>
      </c>
      <c r="B110" s="61" t="s">
        <v>152</v>
      </c>
      <c r="C110" s="61" t="s">
        <v>149</v>
      </c>
      <c r="D110" s="62" t="s">
        <v>150</v>
      </c>
      <c r="E110" s="71" t="s">
        <v>257</v>
      </c>
      <c r="F110" s="72">
        <v>5631</v>
      </c>
      <c r="G110" s="73" t="s">
        <v>267</v>
      </c>
      <c r="H110" s="74">
        <f>[1]!'@CTA[8-2-1-5-6-5631,F,2,#6]'</f>
        <v>0</v>
      </c>
      <c r="I110" s="74">
        <f>[1]!'@CTA[8-2-3-5-6-5631,F,2,#6]'</f>
        <v>0</v>
      </c>
      <c r="J110" s="75">
        <f>[1]!'@CTA[8-2-1-5-6-5631,F,2,#6]'+[1]!'@CTA[8-2-3-5-6-5631,F,2,#6]'</f>
        <v>0</v>
      </c>
      <c r="K110" s="76">
        <f>[1]!'@CTA[8-2-4-5-6-5631,J,2,#6]'</f>
        <v>0</v>
      </c>
      <c r="L110" s="76">
        <f>[1]!'@CTA[8-2-5-5-6-5631,J,2,#6]'</f>
        <v>0</v>
      </c>
      <c r="M110" s="76">
        <f>[1]!'@CTA[8-2-6-5-6-5631,J,2,#6]'</f>
        <v>0</v>
      </c>
      <c r="N110" s="74">
        <f>[1]!'@CTA[8-2-7-5-6-5631,F,2,#6]'</f>
        <v>0</v>
      </c>
      <c r="O110" s="66">
        <f t="shared" si="6"/>
        <v>0</v>
      </c>
    </row>
    <row r="111" spans="1:15" ht="108" x14ac:dyDescent="0.2">
      <c r="A111" s="67" t="s">
        <v>148</v>
      </c>
      <c r="B111" s="61" t="s">
        <v>152</v>
      </c>
      <c r="C111" s="61" t="s">
        <v>149</v>
      </c>
      <c r="D111" s="62" t="s">
        <v>150</v>
      </c>
      <c r="E111" s="71" t="s">
        <v>257</v>
      </c>
      <c r="F111" s="72">
        <v>5651</v>
      </c>
      <c r="G111" s="73" t="s">
        <v>268</v>
      </c>
      <c r="H111" s="74">
        <f>[1]!'@CTA[8-2-1-5-6-5651,F,2,#6]'</f>
        <v>0</v>
      </c>
      <c r="I111" s="74">
        <f>[1]!'@CTA[8-2-3-5-6-5651,F,2,#6]'</f>
        <v>0</v>
      </c>
      <c r="J111" s="75">
        <f>[1]!'@CTA[8-2-1-5-6-5651,F,2,#6]'+[1]!'@CTA[8-2-3-5-6-5651,F,2,#6]'</f>
        <v>0</v>
      </c>
      <c r="K111" s="76">
        <f>[1]!'@CTA[8-2-4-5-6-5651,J,2,#6]'</f>
        <v>0</v>
      </c>
      <c r="L111" s="76">
        <f>[1]!'@CTA[8-2-5-5-6-5651,J,2,#6]'</f>
        <v>0</v>
      </c>
      <c r="M111" s="76">
        <f>[1]!'@CTA[8-2-6-5-6-5651,J,2,#6]'</f>
        <v>0</v>
      </c>
      <c r="N111" s="74">
        <f>[1]!'@CTA[8-2-7-5-6-5651,F,2,#6]'</f>
        <v>0</v>
      </c>
      <c r="O111" s="66">
        <f t="shared" si="6"/>
        <v>0</v>
      </c>
    </row>
    <row r="112" spans="1:15" ht="108" x14ac:dyDescent="0.2">
      <c r="A112" s="67" t="s">
        <v>148</v>
      </c>
      <c r="B112" s="61" t="s">
        <v>152</v>
      </c>
      <c r="C112" s="61" t="s">
        <v>149</v>
      </c>
      <c r="D112" s="62" t="s">
        <v>150</v>
      </c>
      <c r="E112" s="71" t="s">
        <v>257</v>
      </c>
      <c r="F112" s="72">
        <v>5671</v>
      </c>
      <c r="G112" s="73" t="s">
        <v>269</v>
      </c>
      <c r="H112" s="74">
        <f>[1]!'@CTA[8-2-1-5-6-5671,F,2,#6]'</f>
        <v>0</v>
      </c>
      <c r="I112" s="74">
        <f>[1]!'@CTA[8-2-3-5-6-5671,F,2,#6]'</f>
        <v>0</v>
      </c>
      <c r="J112" s="75">
        <f>[1]!'@CTA[8-2-1-5-6-5671,F,2,#6]'+[1]!'@CTA[8-2-3-5-6-5671,F,2,#6]'</f>
        <v>0</v>
      </c>
      <c r="K112" s="76">
        <f>[1]!'@CTA[8-2-4-5-6-5671,J,2,#6]'</f>
        <v>0</v>
      </c>
      <c r="L112" s="76">
        <f>[1]!'@CTA[8-2-5-5-6-5671,J,2,#6]'</f>
        <v>0</v>
      </c>
      <c r="M112" s="76">
        <f>[1]!'@CTA[8-2-6-5-6-5671,J,2,#6]'</f>
        <v>0</v>
      </c>
      <c r="N112" s="74">
        <f>[1]!'@CTA[8-2-7-5-6-5671,F,2,#6]'</f>
        <v>0</v>
      </c>
      <c r="O112" s="66">
        <f t="shared" si="6"/>
        <v>0</v>
      </c>
    </row>
    <row r="113" spans="1:15" ht="108" x14ac:dyDescent="0.2">
      <c r="A113" s="67" t="s">
        <v>148</v>
      </c>
      <c r="B113" s="61" t="s">
        <v>152</v>
      </c>
      <c r="C113" s="61" t="s">
        <v>149</v>
      </c>
      <c r="D113" s="62" t="s">
        <v>150</v>
      </c>
      <c r="E113" s="71" t="s">
        <v>270</v>
      </c>
      <c r="F113" s="72">
        <v>5911</v>
      </c>
      <c r="G113" s="73" t="s">
        <v>271</v>
      </c>
      <c r="H113" s="74">
        <f>[1]!'@CTA[8-2-1-5-9-5911,F,2,#6]'</f>
        <v>0</v>
      </c>
      <c r="I113" s="74">
        <f>[1]!'@CTA[8-2-3-5-9-5911,F,2,#6]'</f>
        <v>0</v>
      </c>
      <c r="J113" s="75">
        <f>[1]!'@CTA[8-2-1-5-9-5911,F,2,#6]'+[1]!'@CTA[8-2-3-5-9-5911,F,2,#6]'</f>
        <v>0</v>
      </c>
      <c r="K113" s="76">
        <f>[1]!'@CTA[8-2-4-5-9-5911,J,2,#6]'</f>
        <v>0</v>
      </c>
      <c r="L113" s="76">
        <f>[1]!'@CTA[8-2-5-5-9-5911,J,2,#6]'</f>
        <v>0</v>
      </c>
      <c r="M113" s="76">
        <f>[1]!'@CTA[8-2-6-5-9-5911,J,2,#6]'</f>
        <v>0</v>
      </c>
      <c r="N113" s="74">
        <f>[1]!'@CTA[8-2-7-5-9-5911,F,2,#6]'</f>
        <v>0</v>
      </c>
      <c r="O113" s="66">
        <f t="shared" si="6"/>
        <v>0</v>
      </c>
    </row>
    <row r="114" spans="1:15" ht="108" x14ac:dyDescent="0.2">
      <c r="A114" s="67" t="s">
        <v>148</v>
      </c>
      <c r="B114" s="61" t="s">
        <v>152</v>
      </c>
      <c r="C114" s="61" t="s">
        <v>149</v>
      </c>
      <c r="D114" s="62" t="s">
        <v>150</v>
      </c>
      <c r="E114" s="71" t="s">
        <v>272</v>
      </c>
      <c r="F114" s="72">
        <v>5951</v>
      </c>
      <c r="G114" s="73" t="s">
        <v>273</v>
      </c>
      <c r="H114" s="74">
        <f>[1]!'@CTA[8-2-1-5-9-5951,F,2,#6]'</f>
        <v>754573</v>
      </c>
      <c r="I114" s="74">
        <f>[1]!'@CTA[8-2-3-5-9-5951,F,2,#6]'</f>
        <v>0</v>
      </c>
      <c r="J114" s="75">
        <f>[1]!'@CTA[8-2-1-5-9-5951,F,2,#6]'+[1]!'@CTA[8-2-3-5-9-5951,F,2,#6]'</f>
        <v>754573</v>
      </c>
      <c r="K114" s="76">
        <f>[1]!'@CTA[8-2-4-5-9-5951,J,2,#6]'</f>
        <v>0</v>
      </c>
      <c r="L114" s="76">
        <f>[1]!'@CTA[8-2-5-5-9-5951,J,2,#6]'</f>
        <v>0</v>
      </c>
      <c r="M114" s="76">
        <f>[1]!'@CTA[8-2-6-5-9-5951,J,2,#6]'</f>
        <v>0</v>
      </c>
      <c r="N114" s="74">
        <f>[1]!'@CTA[8-2-7-5-9-5951,F,2,#6]'</f>
        <v>0</v>
      </c>
      <c r="O114" s="66">
        <f t="shared" si="6"/>
        <v>754573</v>
      </c>
    </row>
    <row r="115" spans="1:15" ht="108" x14ac:dyDescent="0.2">
      <c r="A115" s="67" t="s">
        <v>148</v>
      </c>
      <c r="B115" s="61"/>
      <c r="C115" s="61" t="s">
        <v>149</v>
      </c>
      <c r="D115" s="62" t="s">
        <v>150</v>
      </c>
      <c r="E115" s="71"/>
      <c r="F115" s="63">
        <v>6000</v>
      </c>
      <c r="G115" s="68" t="s">
        <v>274</v>
      </c>
      <c r="H115" s="69">
        <f t="shared" ref="H115:N115" si="7">SUBTOTAL(9,H116:H119)</f>
        <v>0</v>
      </c>
      <c r="I115" s="69">
        <f t="shared" si="7"/>
        <v>0</v>
      </c>
      <c r="J115" s="69">
        <f t="shared" si="7"/>
        <v>0</v>
      </c>
      <c r="K115" s="70">
        <f t="shared" si="7"/>
        <v>0</v>
      </c>
      <c r="L115" s="70">
        <f t="shared" si="7"/>
        <v>0</v>
      </c>
      <c r="M115" s="70">
        <f t="shared" si="7"/>
        <v>0</v>
      </c>
      <c r="N115" s="69">
        <f t="shared" si="7"/>
        <v>0</v>
      </c>
      <c r="O115" s="66">
        <f t="shared" si="6"/>
        <v>0</v>
      </c>
    </row>
    <row r="116" spans="1:15" ht="108" x14ac:dyDescent="0.2">
      <c r="A116" s="67" t="s">
        <v>148</v>
      </c>
      <c r="B116" s="61" t="s">
        <v>275</v>
      </c>
      <c r="C116" s="61" t="s">
        <v>149</v>
      </c>
      <c r="D116" s="62" t="s">
        <v>150</v>
      </c>
      <c r="E116" s="71" t="s">
        <v>276</v>
      </c>
      <c r="F116" s="72">
        <v>6131</v>
      </c>
      <c r="G116" s="78" t="s">
        <v>277</v>
      </c>
      <c r="H116" s="74">
        <f>[1]!'@CTA[8-2-1-6-1-6131,F,2,#6]'</f>
        <v>0</v>
      </c>
      <c r="I116" s="74">
        <f>[1]!'@CTA[8-2-3-6-1-6131,F,2,#6]'</f>
        <v>0</v>
      </c>
      <c r="J116" s="75">
        <f>[1]!'@CTA[8-2-1-6-1-6131,F,2,#6]'+[1]!'@CTA[8-2-3-6-1-6131,F,2,#6]'</f>
        <v>0</v>
      </c>
      <c r="K116" s="76">
        <f>[1]!'@CTA[8-2-4-6-1-6131,J,2,#6]'</f>
        <v>0</v>
      </c>
      <c r="L116" s="76">
        <f>[1]!'@CTA[8-2-5-6-1-6131,J,2,#6]'</f>
        <v>0</v>
      </c>
      <c r="M116" s="76">
        <f>[1]!'@CTA[8-2-6-6-1-6131,J,2,#6]'</f>
        <v>0</v>
      </c>
      <c r="N116" s="74">
        <f>[1]!'@CTA[8-2-7-6-1-6131,F,2,#6]'</f>
        <v>0</v>
      </c>
      <c r="O116" s="66">
        <f t="shared" si="6"/>
        <v>0</v>
      </c>
    </row>
    <row r="117" spans="1:15" ht="108" x14ac:dyDescent="0.2">
      <c r="A117" s="67" t="s">
        <v>148</v>
      </c>
      <c r="B117" s="61" t="s">
        <v>275</v>
      </c>
      <c r="C117" s="61" t="s">
        <v>149</v>
      </c>
      <c r="D117" s="62" t="s">
        <v>150</v>
      </c>
      <c r="E117" s="71" t="s">
        <v>276</v>
      </c>
      <c r="F117" s="72">
        <v>6161</v>
      </c>
      <c r="G117" s="78" t="s">
        <v>278</v>
      </c>
      <c r="H117" s="74">
        <f>[1]!'@CTA[8-2-1-6-1-6161,F,2,#6]'</f>
        <v>0</v>
      </c>
      <c r="I117" s="74">
        <f>[1]!'@CTA[8-2-3-6-1-6161,F,2,#6]'</f>
        <v>0</v>
      </c>
      <c r="J117" s="75">
        <f>[1]!'@CTA[8-2-1-6-1-6161,F,2,#6]'+[1]!'@CTA[8-2-3-6-1-6161,F,2,#6]'</f>
        <v>0</v>
      </c>
      <c r="K117" s="76">
        <f>[1]!'@CTA[8-2-4-6-1-6161,J,2,#6]'</f>
        <v>0</v>
      </c>
      <c r="L117" s="76">
        <f>[1]!'@CTA[8-2-5-6-1-6161,J,2,#6]'</f>
        <v>0</v>
      </c>
      <c r="M117" s="76">
        <f>[1]!'@CTA[8-2-6-6-1-6161,J,2,#6]'</f>
        <v>0</v>
      </c>
      <c r="N117" s="74">
        <f>[1]!'@CTA[8-2-7-6-1-6161,F,2,#6]'</f>
        <v>0</v>
      </c>
      <c r="O117" s="66">
        <f t="shared" si="6"/>
        <v>0</v>
      </c>
    </row>
    <row r="118" spans="1:15" ht="108" x14ac:dyDescent="0.2">
      <c r="A118" s="67" t="s">
        <v>148</v>
      </c>
      <c r="B118" s="61" t="s">
        <v>275</v>
      </c>
      <c r="C118" s="61" t="s">
        <v>149</v>
      </c>
      <c r="D118" s="62" t="s">
        <v>150</v>
      </c>
      <c r="E118" s="71" t="s">
        <v>276</v>
      </c>
      <c r="F118" s="72">
        <v>6162</v>
      </c>
      <c r="G118" s="78" t="s">
        <v>279</v>
      </c>
      <c r="H118" s="74">
        <f>[1]!'@CTA[8-2-1-6-1-6162,F,2,#6]'</f>
        <v>0</v>
      </c>
      <c r="I118" s="74">
        <f>[1]!'@CTA[8-2-3-6-1-6162,F,2,#6]'</f>
        <v>0</v>
      </c>
      <c r="J118" s="75">
        <f>[1]!'@CTA[8-2-1-6-1-6162,F,2,#6]'+[1]!'@CTA[8-2-3-6-1-6162,F,2,#6]'</f>
        <v>0</v>
      </c>
      <c r="K118" s="76">
        <f>[1]!'@CTA[8-2-4-6-1-6162,J,2,#6]'</f>
        <v>0</v>
      </c>
      <c r="L118" s="76">
        <f>[1]!'@CTA[8-2-5-6-1-6162,J,2,#6]'</f>
        <v>0</v>
      </c>
      <c r="M118" s="76">
        <f>[1]!'@CTA[8-2-6-6-1-6162,J,2,#6]'</f>
        <v>0</v>
      </c>
      <c r="N118" s="74">
        <f>[1]!'@CTA[8-2-7-6-1-6162,F,2,#6]'</f>
        <v>0</v>
      </c>
      <c r="O118" s="66">
        <f t="shared" si="6"/>
        <v>0</v>
      </c>
    </row>
    <row r="119" spans="1:15" ht="108" x14ac:dyDescent="0.2">
      <c r="A119" s="67" t="s">
        <v>148</v>
      </c>
      <c r="B119" s="61" t="s">
        <v>275</v>
      </c>
      <c r="C119" s="61" t="s">
        <v>149</v>
      </c>
      <c r="D119" s="62" t="s">
        <v>150</v>
      </c>
      <c r="E119" s="71" t="s">
        <v>276</v>
      </c>
      <c r="F119" s="72">
        <v>6171</v>
      </c>
      <c r="G119" s="78" t="s">
        <v>280</v>
      </c>
      <c r="H119" s="74">
        <f>[1]!'@CTA[8-2-1-6-1-6171,F,2,#6]'</f>
        <v>0</v>
      </c>
      <c r="I119" s="74">
        <f>[1]!'@CTA[8-2-3-6-1-6171,F,2,#6]'</f>
        <v>0</v>
      </c>
      <c r="J119" s="75">
        <f>[1]!'@CTA[8-2-1-6-1-6171,F,2,#6]'+[1]!'@CTA[8-2-3-6-1-6171,F,2,#6]'</f>
        <v>0</v>
      </c>
      <c r="K119" s="76">
        <f>[1]!'@CTA[8-2-4-6-1-6171,J,2,#6]'</f>
        <v>0</v>
      </c>
      <c r="L119" s="76">
        <f>[1]!'@CTA[8-2-5-6-1-6171,J,2,#6]'</f>
        <v>0</v>
      </c>
      <c r="M119" s="76">
        <f>[1]!'@CTA[8-2-6-6-1-6171,J,2,#6]'</f>
        <v>0</v>
      </c>
      <c r="N119" s="74">
        <f>[1]!'@CTA[8-2-7-6-1-6171,F,2,#6]'</f>
        <v>0</v>
      </c>
      <c r="O119" s="66">
        <f t="shared" si="6"/>
        <v>0</v>
      </c>
    </row>
    <row r="120" spans="1:15" ht="12" x14ac:dyDescent="0.2">
      <c r="A120" s="60"/>
      <c r="B120" s="61"/>
      <c r="C120" s="61"/>
      <c r="D120" s="62"/>
      <c r="E120" s="61"/>
      <c r="F120" s="63"/>
      <c r="G120" s="64" t="s">
        <v>281</v>
      </c>
      <c r="H120" s="65">
        <f t="shared" ref="H120:N120" si="8">SUBTOTAL(9,H121:H236)</f>
        <v>2326852</v>
      </c>
      <c r="I120" s="65">
        <f t="shared" si="8"/>
        <v>172624.81</v>
      </c>
      <c r="J120" s="65">
        <f t="shared" si="8"/>
        <v>2499476.8100000005</v>
      </c>
      <c r="K120" s="65">
        <f t="shared" si="8"/>
        <v>464409.70999999996</v>
      </c>
      <c r="L120" s="65">
        <f t="shared" si="8"/>
        <v>464409.70999999996</v>
      </c>
      <c r="M120" s="65">
        <f t="shared" si="8"/>
        <v>464409.70999999996</v>
      </c>
      <c r="N120" s="65">
        <f t="shared" si="8"/>
        <v>422422.57000000018</v>
      </c>
      <c r="O120" s="66">
        <f t="shared" si="6"/>
        <v>2035067.1000000006</v>
      </c>
    </row>
    <row r="121" spans="1:15" ht="108" x14ac:dyDescent="0.2">
      <c r="A121" s="67" t="s">
        <v>282</v>
      </c>
      <c r="B121" s="61"/>
      <c r="C121" s="61" t="s">
        <v>149</v>
      </c>
      <c r="D121" s="62" t="s">
        <v>283</v>
      </c>
      <c r="E121" s="61"/>
      <c r="F121" s="63">
        <v>1000</v>
      </c>
      <c r="G121" s="68" t="s">
        <v>151</v>
      </c>
      <c r="H121" s="69">
        <f t="shared" ref="H121:N121" si="9">SUBTOTAL(9,H122:H140)</f>
        <v>2012988</v>
      </c>
      <c r="I121" s="69">
        <f t="shared" si="9"/>
        <v>168800.44999999998</v>
      </c>
      <c r="J121" s="69">
        <f t="shared" si="9"/>
        <v>2181788.4500000002</v>
      </c>
      <c r="K121" s="70">
        <f t="shared" si="9"/>
        <v>410468.88000000006</v>
      </c>
      <c r="L121" s="70">
        <f t="shared" si="9"/>
        <v>410468.88000000006</v>
      </c>
      <c r="M121" s="70">
        <f t="shared" si="9"/>
        <v>410468.88000000006</v>
      </c>
      <c r="N121" s="69">
        <f t="shared" si="9"/>
        <v>371062.55000000022</v>
      </c>
      <c r="O121" s="66">
        <f t="shared" si="6"/>
        <v>1771319.57</v>
      </c>
    </row>
    <row r="122" spans="1:15" ht="108" x14ac:dyDescent="0.2">
      <c r="A122" s="67" t="s">
        <v>282</v>
      </c>
      <c r="B122" s="61" t="s">
        <v>152</v>
      </c>
      <c r="C122" s="61" t="s">
        <v>149</v>
      </c>
      <c r="D122" s="62" t="s">
        <v>283</v>
      </c>
      <c r="E122" s="71" t="s">
        <v>153</v>
      </c>
      <c r="F122" s="72">
        <v>1131</v>
      </c>
      <c r="G122" s="73" t="s">
        <v>154</v>
      </c>
      <c r="H122" s="74">
        <f>[1]!'@CTA[8-2-1-1-1-1131,F,3,#6]'</f>
        <v>1121744</v>
      </c>
      <c r="I122" s="74">
        <f>[1]!'@CTA[8-2-3-1-1-1131,F,3,#6]'</f>
        <v>0</v>
      </c>
      <c r="J122" s="75">
        <f>[1]!'@CTA[8-2-1-1-1-1131,F,3,#6]'+[1]!'@CTA[8-2-3-1-1-1131,F,3,#6]'</f>
        <v>1121744</v>
      </c>
      <c r="K122" s="76">
        <f>[1]!'@CTA[8-2-4-1-1-1131,J,3,#6]'</f>
        <v>260568.74</v>
      </c>
      <c r="L122" s="76">
        <f>[1]!'@CTA[8-2-5-1-1-1131,J,3,#6]'</f>
        <v>260568.74</v>
      </c>
      <c r="M122" s="76">
        <f>[1]!'@CTA[8-2-6-1-1-1131,J,3,#6]'</f>
        <v>260568.74</v>
      </c>
      <c r="N122" s="74">
        <f>[1]!'@CTA[8-2-7-1-1-1131,F,3,#6]'</f>
        <v>240665.99000000022</v>
      </c>
      <c r="O122" s="66">
        <f t="shared" si="6"/>
        <v>861175.26</v>
      </c>
    </row>
    <row r="123" spans="1:15" ht="108" x14ac:dyDescent="0.2">
      <c r="A123" s="67" t="s">
        <v>282</v>
      </c>
      <c r="B123" s="61" t="s">
        <v>152</v>
      </c>
      <c r="C123" s="61" t="s">
        <v>149</v>
      </c>
      <c r="D123" s="62" t="s">
        <v>283</v>
      </c>
      <c r="E123" s="71" t="s">
        <v>153</v>
      </c>
      <c r="F123" s="72">
        <v>1211</v>
      </c>
      <c r="G123" s="73" t="s">
        <v>156</v>
      </c>
      <c r="H123" s="74">
        <f>[1]!'@CTA[8-2-1-1-2-1211,F,3,#6]'</f>
        <v>0</v>
      </c>
      <c r="I123" s="74">
        <f>[1]!'@CTA[8-2-3-1-2-1211,F,3,#6]'</f>
        <v>0</v>
      </c>
      <c r="J123" s="75">
        <f>[1]!'@CTA[8-2-1-1-2-1211,F,3,#6]'+[1]!'@CTA[8-2-3-1-2-1211,F,3,#6]'</f>
        <v>0</v>
      </c>
      <c r="K123" s="76">
        <f>[1]!'@CTA[8-2-4-1-2-1211,J,3,#6]'</f>
        <v>0</v>
      </c>
      <c r="L123" s="76">
        <f>[1]!'@CTA[8-2-5-1-2-1211,J,3,#6]'</f>
        <v>0</v>
      </c>
      <c r="M123" s="76">
        <f>[1]!'@CTA[8-2-6-1-2-1211,J,3,#6]'</f>
        <v>0</v>
      </c>
      <c r="N123" s="74">
        <f>[1]!'@CTA[8-2-7-1-2-1211,F,3,#6]'</f>
        <v>0</v>
      </c>
      <c r="O123" s="66">
        <f t="shared" si="6"/>
        <v>0</v>
      </c>
    </row>
    <row r="124" spans="1:15" ht="108" x14ac:dyDescent="0.2">
      <c r="A124" s="67" t="s">
        <v>282</v>
      </c>
      <c r="B124" s="61" t="s">
        <v>152</v>
      </c>
      <c r="C124" s="61" t="s">
        <v>149</v>
      </c>
      <c r="D124" s="62" t="s">
        <v>283</v>
      </c>
      <c r="E124" s="71" t="s">
        <v>153</v>
      </c>
      <c r="F124" s="72">
        <v>1221</v>
      </c>
      <c r="G124" s="73" t="s">
        <v>155</v>
      </c>
      <c r="H124" s="74">
        <f>[1]!'@CTA[8-2-1-1-2-1221,F,3,#6]'</f>
        <v>4204</v>
      </c>
      <c r="I124" s="74">
        <f>[1]!'@CTA[8-2-3-1-2-1221,F,3,#6]'</f>
        <v>0</v>
      </c>
      <c r="J124" s="75">
        <f>[1]!'@CTA[8-2-1-1-2-1221,F,3,#6]'+[1]!'@CTA[8-2-3-1-2-1221,F,3,#6]'</f>
        <v>4204</v>
      </c>
      <c r="K124" s="76">
        <f>[1]!'@CTA[8-2-4-1-2-1221,J,3,#6]'</f>
        <v>0</v>
      </c>
      <c r="L124" s="76">
        <f>[1]!'@CTA[8-2-5-1-2-1221,J,3,#6]'</f>
        <v>0</v>
      </c>
      <c r="M124" s="76">
        <f>[1]!'@CTA[8-2-6-1-2-1221,J,3,#6]'</f>
        <v>0</v>
      </c>
      <c r="N124" s="74">
        <f>[1]!'@CTA[8-2-7-1-2-1221,F,3,#6]'</f>
        <v>0</v>
      </c>
      <c r="O124" s="66">
        <f t="shared" si="6"/>
        <v>4204</v>
      </c>
    </row>
    <row r="125" spans="1:15" ht="108" x14ac:dyDescent="0.2">
      <c r="A125" s="67" t="s">
        <v>282</v>
      </c>
      <c r="B125" s="61" t="s">
        <v>152</v>
      </c>
      <c r="C125" s="61" t="s">
        <v>149</v>
      </c>
      <c r="D125" s="62" t="s">
        <v>283</v>
      </c>
      <c r="E125" s="71" t="s">
        <v>153</v>
      </c>
      <c r="F125" s="72">
        <v>1311</v>
      </c>
      <c r="G125" s="73" t="s">
        <v>157</v>
      </c>
      <c r="H125" s="74">
        <f>[1]!'@CTA[8-2-1-1-3-1311,F,3,#6]'</f>
        <v>0</v>
      </c>
      <c r="I125" s="74">
        <f>[1]!'@CTA[8-2-3-1-3-1311,F,3,#6]'</f>
        <v>0</v>
      </c>
      <c r="J125" s="75">
        <f>[1]!'@CTA[8-2-1-1-3-1311,F,3,#6]'+[1]!'@CTA[8-2-3-1-3-1311,F,3,#6]'</f>
        <v>0</v>
      </c>
      <c r="K125" s="76">
        <f>[1]!'@CTA[8-2-4-1-3-1311,J,3,#6]'</f>
        <v>0</v>
      </c>
      <c r="L125" s="76">
        <f>[1]!'@CTA[8-2-5-1-3-1311,J,3,#6]'</f>
        <v>0</v>
      </c>
      <c r="M125" s="76">
        <f>[1]!'@CTA[8-2-6-1-3-1311,J,3,#6]'</f>
        <v>0</v>
      </c>
      <c r="N125" s="74">
        <f>[1]!'@CTA[8-2-7-1-3-1311,F,3,#6]'</f>
        <v>0</v>
      </c>
      <c r="O125" s="66">
        <f t="shared" si="6"/>
        <v>0</v>
      </c>
    </row>
    <row r="126" spans="1:15" ht="108" x14ac:dyDescent="0.2">
      <c r="A126" s="67" t="s">
        <v>282</v>
      </c>
      <c r="B126" s="61" t="s">
        <v>152</v>
      </c>
      <c r="C126" s="61" t="s">
        <v>149</v>
      </c>
      <c r="D126" s="62" t="s">
        <v>283</v>
      </c>
      <c r="E126" s="71" t="s">
        <v>153</v>
      </c>
      <c r="F126" s="72">
        <v>1321</v>
      </c>
      <c r="G126" s="73" t="s">
        <v>158</v>
      </c>
      <c r="H126" s="74">
        <f>[1]!'@CTA[8-2-1-1-3-1321,F,3,#6]'</f>
        <v>18448</v>
      </c>
      <c r="I126" s="74">
        <f>[1]!'@CTA[8-2-3-1-3-1321,F,3,#6]'</f>
        <v>-1.8189894035458565E-12</v>
      </c>
      <c r="J126" s="75">
        <f>[1]!'@CTA[8-2-1-1-3-1321,F,3,#6]'+[1]!'@CTA[8-2-3-1-3-1321,F,3,#6]'</f>
        <v>18448</v>
      </c>
      <c r="K126" s="76">
        <f>[1]!'@CTA[8-2-4-1-3-1321,J,3,#6]'</f>
        <v>8817</v>
      </c>
      <c r="L126" s="76">
        <f>[1]!'@CTA[8-2-5-1-3-1321,J,3,#6]'</f>
        <v>8817</v>
      </c>
      <c r="M126" s="76">
        <f>[1]!'@CTA[8-2-6-1-3-1321,J,3,#6]'</f>
        <v>8817</v>
      </c>
      <c r="N126" s="74">
        <f>[1]!'@CTA[8-2-7-1-3-1321,F,3,#6]'</f>
        <v>8086.6000000000022</v>
      </c>
      <c r="O126" s="66">
        <f t="shared" si="6"/>
        <v>9631</v>
      </c>
    </row>
    <row r="127" spans="1:15" ht="108" x14ac:dyDescent="0.2">
      <c r="A127" s="67" t="s">
        <v>282</v>
      </c>
      <c r="B127" s="61" t="s">
        <v>152</v>
      </c>
      <c r="C127" s="61" t="s">
        <v>149</v>
      </c>
      <c r="D127" s="62" t="s">
        <v>283</v>
      </c>
      <c r="E127" s="71" t="s">
        <v>153</v>
      </c>
      <c r="F127" s="72">
        <v>1322</v>
      </c>
      <c r="G127" s="73" t="s">
        <v>159</v>
      </c>
      <c r="H127" s="74">
        <f>[1]!'@CTA[8-2-1-1-3-1322,F,3,#6]'</f>
        <v>36593</v>
      </c>
      <c r="I127" s="74">
        <f>[1]!'@CTA[8-2-3-1-3-1322,F,3,#6]'</f>
        <v>0</v>
      </c>
      <c r="J127" s="75">
        <f>[1]!'@CTA[8-2-1-1-3-1322,F,3,#6]'+[1]!'@CTA[8-2-3-1-3-1322,F,3,#6]'</f>
        <v>36593</v>
      </c>
      <c r="K127" s="76">
        <f>[1]!'@CTA[8-2-4-1-3-1322,J,3,#6]'</f>
        <v>5519.95</v>
      </c>
      <c r="L127" s="76">
        <f>[1]!'@CTA[8-2-5-1-3-1322,J,3,#6]'</f>
        <v>5519.95</v>
      </c>
      <c r="M127" s="76">
        <f>[1]!'@CTA[8-2-6-1-3-1322,J,3,#6]'</f>
        <v>5519.95</v>
      </c>
      <c r="N127" s="74">
        <f>[1]!'@CTA[8-2-7-1-3-1322,F,3,#6]'</f>
        <v>2110.1899999999887</v>
      </c>
      <c r="O127" s="66">
        <f t="shared" si="6"/>
        <v>31073.05</v>
      </c>
    </row>
    <row r="128" spans="1:15" ht="108" x14ac:dyDescent="0.2">
      <c r="A128" s="67" t="s">
        <v>282</v>
      </c>
      <c r="B128" s="61" t="s">
        <v>152</v>
      </c>
      <c r="C128" s="61" t="s">
        <v>149</v>
      </c>
      <c r="D128" s="62" t="s">
        <v>283</v>
      </c>
      <c r="E128" s="71" t="s">
        <v>153</v>
      </c>
      <c r="F128" s="72">
        <v>1323</v>
      </c>
      <c r="G128" s="73" t="s">
        <v>160</v>
      </c>
      <c r="H128" s="74">
        <f>[1]!'@CTA[8-2-1-1-3-1323,F,3,#6]'</f>
        <v>127073</v>
      </c>
      <c r="I128" s="74">
        <f>[1]!'@CTA[8-2-3-1-3-1323,F,3,#6]'</f>
        <v>0</v>
      </c>
      <c r="J128" s="75">
        <f>[1]!'@CTA[8-2-1-1-3-1323,F,3,#6]'+[1]!'@CTA[8-2-3-1-3-1323,F,3,#6]'</f>
        <v>127073</v>
      </c>
      <c r="K128" s="76">
        <f>[1]!'@CTA[8-2-4-1-3-1323,J,3,#6]'</f>
        <v>232.84</v>
      </c>
      <c r="L128" s="76">
        <f>[1]!'@CTA[8-2-5-1-3-1323,J,3,#6]'</f>
        <v>232.84</v>
      </c>
      <c r="M128" s="76">
        <f>[1]!'@CTA[8-2-6-1-3-1323,J,3,#6]'</f>
        <v>232.84</v>
      </c>
      <c r="N128" s="74">
        <f>[1]!'@CTA[8-2-7-1-3-1323,F,3,#6]'</f>
        <v>232.83999999999273</v>
      </c>
      <c r="O128" s="66">
        <f t="shared" si="6"/>
        <v>126840.16</v>
      </c>
    </row>
    <row r="129" spans="1:15" ht="108" x14ac:dyDescent="0.2">
      <c r="A129" s="67" t="s">
        <v>282</v>
      </c>
      <c r="B129" s="61" t="s">
        <v>152</v>
      </c>
      <c r="C129" s="61" t="s">
        <v>149</v>
      </c>
      <c r="D129" s="62" t="s">
        <v>283</v>
      </c>
      <c r="E129" s="71" t="s">
        <v>153</v>
      </c>
      <c r="F129" s="72">
        <v>1331</v>
      </c>
      <c r="G129" s="73" t="s">
        <v>161</v>
      </c>
      <c r="H129" s="74">
        <f>[1]!'@CTA[8-2-1-1-3-1331,F,3,#6]'</f>
        <v>12850</v>
      </c>
      <c r="I129" s="74">
        <f>[1]!'@CTA[8-2-3-1-3-1331,F,3,#6]'</f>
        <v>0</v>
      </c>
      <c r="J129" s="75">
        <f>[1]!'@CTA[8-2-1-1-3-1331,F,3,#6]'+[1]!'@CTA[8-2-3-1-3-1331,F,3,#6]'</f>
        <v>12850</v>
      </c>
      <c r="K129" s="76">
        <f>[1]!'@CTA[8-2-4-1-3-1331,J,3,#6]'</f>
        <v>1094.99</v>
      </c>
      <c r="L129" s="76">
        <f>[1]!'@CTA[8-2-5-1-3-1331,J,3,#6]'</f>
        <v>1094.99</v>
      </c>
      <c r="M129" s="76">
        <f>[1]!'@CTA[8-2-6-1-3-1331,J,3,#6]'</f>
        <v>1094.99</v>
      </c>
      <c r="N129" s="74">
        <f>[1]!'@CTA[8-2-7-1-3-1331,F,3,#6]'</f>
        <v>1094.9899999999936</v>
      </c>
      <c r="O129" s="66">
        <f t="shared" si="6"/>
        <v>11755.01</v>
      </c>
    </row>
    <row r="130" spans="1:15" ht="108" x14ac:dyDescent="0.2">
      <c r="A130" s="67" t="s">
        <v>282</v>
      </c>
      <c r="B130" s="61" t="s">
        <v>152</v>
      </c>
      <c r="C130" s="61" t="s">
        <v>149</v>
      </c>
      <c r="D130" s="62" t="s">
        <v>283</v>
      </c>
      <c r="E130" s="71" t="s">
        <v>153</v>
      </c>
      <c r="F130" s="72">
        <v>1341</v>
      </c>
      <c r="G130" s="73" t="s">
        <v>162</v>
      </c>
      <c r="H130" s="74">
        <f>[1]!'@CTA[8-2-1-1-3-1341,F,3,#6]'</f>
        <v>30122</v>
      </c>
      <c r="I130" s="74">
        <f>[1]!'@CTA[8-2-3-1-3-1341,F,3,#6]'</f>
        <v>0</v>
      </c>
      <c r="J130" s="75">
        <f>[1]!'@CTA[8-2-1-1-3-1341,F,3,#6]'+[1]!'@CTA[8-2-3-1-3-1341,F,3,#6]'</f>
        <v>30122</v>
      </c>
      <c r="K130" s="76">
        <f>[1]!'@CTA[8-2-4-1-3-1341,J,3,#6]'</f>
        <v>0</v>
      </c>
      <c r="L130" s="76">
        <f>[1]!'@CTA[8-2-5-1-3-1341,J,3,#6]'</f>
        <v>0</v>
      </c>
      <c r="M130" s="76">
        <f>[1]!'@CTA[8-2-6-1-3-1341,J,3,#6]'</f>
        <v>0</v>
      </c>
      <c r="N130" s="74">
        <f>[1]!'@CTA[8-2-7-1-3-1341,F,3,#6]'</f>
        <v>0</v>
      </c>
      <c r="O130" s="66">
        <f t="shared" si="6"/>
        <v>30122</v>
      </c>
    </row>
    <row r="131" spans="1:15" ht="108" x14ac:dyDescent="0.2">
      <c r="A131" s="67" t="s">
        <v>282</v>
      </c>
      <c r="B131" s="61" t="s">
        <v>163</v>
      </c>
      <c r="C131" s="61" t="s">
        <v>149</v>
      </c>
      <c r="D131" s="62" t="s">
        <v>283</v>
      </c>
      <c r="E131" s="71" t="s">
        <v>164</v>
      </c>
      <c r="F131" s="72">
        <v>1411</v>
      </c>
      <c r="G131" s="73" t="s">
        <v>165</v>
      </c>
      <c r="H131" s="74">
        <f>[1]!'@CTA[8-2-1-1-4-1411,F,3,#6]'</f>
        <v>170112</v>
      </c>
      <c r="I131" s="74">
        <f>[1]!'@CTA[8-2-3-1-4-1411,F,3,#6]'</f>
        <v>12265.219999999992</v>
      </c>
      <c r="J131" s="75">
        <f>[1]!'@CTA[8-2-1-1-4-1411,F,3,#6]'+[1]!'@CTA[8-2-3-1-4-1411,F,3,#6]'</f>
        <v>182377.22</v>
      </c>
      <c r="K131" s="76">
        <f>[1]!'@CTA[8-2-4-1-4-1411,J,3,#6]'</f>
        <v>38623.93</v>
      </c>
      <c r="L131" s="76">
        <f>[1]!'@CTA[8-2-5-1-4-1411,J,3,#6]'</f>
        <v>38623.93</v>
      </c>
      <c r="M131" s="76">
        <f>[1]!'@CTA[8-2-6-1-4-1411,J,3,#6]'</f>
        <v>38623.93</v>
      </c>
      <c r="N131" s="74">
        <f>[1]!'@CTA[8-2-7-1-4-1411,F,3,#6]'</f>
        <v>25731.079999999965</v>
      </c>
      <c r="O131" s="66">
        <f t="shared" si="6"/>
        <v>143753.29</v>
      </c>
    </row>
    <row r="132" spans="1:15" ht="108" x14ac:dyDescent="0.2">
      <c r="A132" s="67" t="s">
        <v>282</v>
      </c>
      <c r="B132" s="61" t="s">
        <v>163</v>
      </c>
      <c r="C132" s="61" t="s">
        <v>149</v>
      </c>
      <c r="D132" s="62" t="s">
        <v>283</v>
      </c>
      <c r="E132" s="71" t="s">
        <v>164</v>
      </c>
      <c r="F132" s="72">
        <v>1421</v>
      </c>
      <c r="G132" s="73" t="s">
        <v>166</v>
      </c>
      <c r="H132" s="74">
        <f>[1]!'@CTA[8-2-1-1-4-1421,F,3,#6]'</f>
        <v>75041</v>
      </c>
      <c r="I132" s="74">
        <f>[1]!'@CTA[8-2-3-1-4-1421,F,3,#6]'</f>
        <v>11223.57</v>
      </c>
      <c r="J132" s="75">
        <f>[1]!'@CTA[8-2-1-1-4-1421,F,3,#6]'+[1]!'@CTA[8-2-3-1-4-1421,F,3,#6]'</f>
        <v>86264.57</v>
      </c>
      <c r="K132" s="76">
        <f>[1]!'@CTA[8-2-4-1-4-1421,J,3,#6]'</f>
        <v>12426.06</v>
      </c>
      <c r="L132" s="76">
        <f>[1]!'@CTA[8-2-5-1-4-1421,J,3,#6]'</f>
        <v>12426.06</v>
      </c>
      <c r="M132" s="76">
        <f>[1]!'@CTA[8-2-6-1-4-1421,J,3,#6]'</f>
        <v>12426.06</v>
      </c>
      <c r="N132" s="74">
        <f>[1]!'@CTA[8-2-7-1-4-1421,F,3,#6]'</f>
        <v>12426.059999999981</v>
      </c>
      <c r="O132" s="66">
        <f t="shared" ref="O132:O196" si="10">J132-L132</f>
        <v>73838.510000000009</v>
      </c>
    </row>
    <row r="133" spans="1:15" ht="108" x14ac:dyDescent="0.2">
      <c r="A133" s="67" t="s">
        <v>282</v>
      </c>
      <c r="B133" s="61" t="s">
        <v>163</v>
      </c>
      <c r="C133" s="61" t="s">
        <v>149</v>
      </c>
      <c r="D133" s="62" t="s">
        <v>283</v>
      </c>
      <c r="E133" s="71" t="s">
        <v>164</v>
      </c>
      <c r="F133" s="72">
        <v>1431</v>
      </c>
      <c r="G133" s="73" t="s">
        <v>167</v>
      </c>
      <c r="H133" s="74">
        <f>[1]!'@CTA[8-2-1-1-4-1431,F,3,#6]'</f>
        <v>77292</v>
      </c>
      <c r="I133" s="74">
        <f>[1]!'@CTA[8-2-3-1-4-1431,F,3,#6]'</f>
        <v>11170.55</v>
      </c>
      <c r="J133" s="75">
        <f>[1]!'@CTA[8-2-1-1-4-1431,F,3,#6]'+[1]!'@CTA[8-2-3-1-4-1431,F,3,#6]'</f>
        <v>88462.55</v>
      </c>
      <c r="K133" s="76">
        <f>[1]!'@CTA[8-2-4-1-4-1431,J,3,#6]'</f>
        <v>12422.28</v>
      </c>
      <c r="L133" s="76">
        <f>[1]!'@CTA[8-2-5-1-4-1431,J,3,#6]'</f>
        <v>12422.28</v>
      </c>
      <c r="M133" s="76">
        <f>[1]!'@CTA[8-2-6-1-4-1431,J,3,#6]'</f>
        <v>12422.28</v>
      </c>
      <c r="N133" s="74">
        <f>[1]!'@CTA[8-2-7-1-4-1431,F,3,#6]'</f>
        <v>12422.280000000015</v>
      </c>
      <c r="O133" s="66">
        <f t="shared" si="10"/>
        <v>76040.27</v>
      </c>
    </row>
    <row r="134" spans="1:15" ht="108" x14ac:dyDescent="0.2">
      <c r="A134" s="67" t="s">
        <v>282</v>
      </c>
      <c r="B134" s="61" t="s">
        <v>163</v>
      </c>
      <c r="C134" s="61" t="s">
        <v>149</v>
      </c>
      <c r="D134" s="62" t="s">
        <v>283</v>
      </c>
      <c r="E134" s="71" t="s">
        <v>164</v>
      </c>
      <c r="F134" s="72">
        <v>1441</v>
      </c>
      <c r="G134" s="73" t="s">
        <v>168</v>
      </c>
      <c r="H134" s="74">
        <f>[1]!'@CTA[8-2-1-1-4-1441,F,3,#6]'</f>
        <v>7039</v>
      </c>
      <c r="I134" s="74">
        <f>[1]!'@CTA[8-2-3-1-4-1441,F,3,#6]'</f>
        <v>0</v>
      </c>
      <c r="J134" s="75">
        <f>[1]!'@CTA[8-2-1-1-4-1441,F,3,#6]'+[1]!'@CTA[8-2-3-1-4-1441,F,3,#6]'</f>
        <v>7039</v>
      </c>
      <c r="K134" s="76">
        <f>[1]!'@CTA[8-2-4-1-4-1441,J,3,#6]'</f>
        <v>1671.4</v>
      </c>
      <c r="L134" s="76">
        <f>[1]!'@CTA[8-2-5-1-4-1441,J,3,#6]'</f>
        <v>1671.4</v>
      </c>
      <c r="M134" s="76">
        <f>[1]!'@CTA[8-2-6-1-4-1441,J,3,#6]'</f>
        <v>1671.4</v>
      </c>
      <c r="N134" s="74">
        <f>[1]!'@CTA[8-2-7-1-4-1441,F,3,#6]'</f>
        <v>1671.3999999999996</v>
      </c>
      <c r="O134" s="66">
        <f t="shared" si="10"/>
        <v>5367.6</v>
      </c>
    </row>
    <row r="135" spans="1:15" ht="108" x14ac:dyDescent="0.2">
      <c r="A135" s="67" t="s">
        <v>282</v>
      </c>
      <c r="B135" s="61" t="s">
        <v>169</v>
      </c>
      <c r="C135" s="61" t="s">
        <v>149</v>
      </c>
      <c r="D135" s="62" t="s">
        <v>283</v>
      </c>
      <c r="E135" s="71" t="s">
        <v>153</v>
      </c>
      <c r="F135" s="72">
        <v>1521</v>
      </c>
      <c r="G135" s="73" t="s">
        <v>170</v>
      </c>
      <c r="H135" s="74">
        <f>[1]!'@CTA[8-2-1-1-5-1521,F,3,#6]'</f>
        <v>0</v>
      </c>
      <c r="I135" s="74">
        <f>[1]!'@CTA[8-2-3-1-5-1521,F,3,#6]'</f>
        <v>0</v>
      </c>
      <c r="J135" s="75">
        <f>[1]!'@CTA[8-2-1-1-5-1521,F,3,#6]'+[1]!'@CTA[8-2-3-1-5-1521,F,3,#6]'</f>
        <v>0</v>
      </c>
      <c r="K135" s="76">
        <f>[1]!'@CTA[8-2-4-1-5-1521,J,3,#6]'</f>
        <v>0</v>
      </c>
      <c r="L135" s="76">
        <f>[1]!'@CTA[8-2-5-1-5-1521,J,3,#6]'</f>
        <v>0</v>
      </c>
      <c r="M135" s="76">
        <f>[1]!'@CTA[8-2-6-1-5-1521,J,3,#6]'</f>
        <v>0</v>
      </c>
      <c r="N135" s="74">
        <f>[1]!'@CTA[8-2-7-1-5-1521,F,3,#6]'</f>
        <v>0</v>
      </c>
      <c r="O135" s="66">
        <f t="shared" si="10"/>
        <v>0</v>
      </c>
    </row>
    <row r="136" spans="1:15" ht="108" x14ac:dyDescent="0.2">
      <c r="A136" s="67" t="s">
        <v>282</v>
      </c>
      <c r="B136" s="61" t="s">
        <v>152</v>
      </c>
      <c r="C136" s="61" t="s">
        <v>149</v>
      </c>
      <c r="D136" s="62" t="s">
        <v>283</v>
      </c>
      <c r="E136" s="71" t="s">
        <v>153</v>
      </c>
      <c r="F136" s="72">
        <v>1522</v>
      </c>
      <c r="G136" s="73" t="s">
        <v>171</v>
      </c>
      <c r="H136" s="74">
        <f>[1]!'@CTA[8-2-1-1-5-1522,F,3,#6]'</f>
        <v>0</v>
      </c>
      <c r="I136" s="74">
        <f>[1]!'@CTA[8-2-3-1-5-1522,F,3,#6]'</f>
        <v>134141.10999999999</v>
      </c>
      <c r="J136" s="75">
        <f>[1]!'@CTA[8-2-1-1-5-1522,F,3,#6]'+[1]!'@CTA[8-2-3-1-5-1522,F,3,#6]'</f>
        <v>134141.10999999999</v>
      </c>
      <c r="K136" s="76">
        <f>[1]!'@CTA[8-2-4-1-5-1522,J,3,#6]'</f>
        <v>0</v>
      </c>
      <c r="L136" s="76">
        <f>[1]!'@CTA[8-2-5-1-5-1522,J,3,#6]'</f>
        <v>0</v>
      </c>
      <c r="M136" s="76">
        <f>[1]!'@CTA[8-2-6-1-5-1522,J,3,#6]'</f>
        <v>0</v>
      </c>
      <c r="N136" s="74">
        <f>[1]!'@CTA[8-2-7-1-5-1522,F,3,#6]'</f>
        <v>0</v>
      </c>
      <c r="O136" s="66">
        <f t="shared" si="10"/>
        <v>134141.10999999999</v>
      </c>
    </row>
    <row r="137" spans="1:15" ht="108" x14ac:dyDescent="0.2">
      <c r="A137" s="67" t="s">
        <v>282</v>
      </c>
      <c r="B137" s="61" t="s">
        <v>152</v>
      </c>
      <c r="C137" s="61" t="s">
        <v>149</v>
      </c>
      <c r="D137" s="62" t="s">
        <v>283</v>
      </c>
      <c r="E137" s="71" t="s">
        <v>153</v>
      </c>
      <c r="F137" s="72">
        <v>1541</v>
      </c>
      <c r="G137" s="73" t="s">
        <v>172</v>
      </c>
      <c r="H137" s="74">
        <f>[1]!'@CTA[8-2-1-1-5-1541,F,3,#6]'</f>
        <v>219769</v>
      </c>
      <c r="I137" s="74">
        <f>[1]!'@CTA[8-2-3-1-5-1541,F,3,#6]'</f>
        <v>0</v>
      </c>
      <c r="J137" s="75">
        <f>[1]!'@CTA[8-2-1-1-5-1541,F,3,#6]'+[1]!'@CTA[8-2-3-1-5-1541,F,3,#6]'</f>
        <v>219769</v>
      </c>
      <c r="K137" s="76">
        <f>[1]!'@CTA[8-2-4-1-5-1541,J,3,#6]'</f>
        <v>56872.12999999999</v>
      </c>
      <c r="L137" s="76">
        <f>[1]!'@CTA[8-2-5-1-5-1541,J,3,#6]'</f>
        <v>56872.12999999999</v>
      </c>
      <c r="M137" s="76">
        <f>[1]!'@CTA[8-2-6-1-5-1541,J,3,#6]'</f>
        <v>56872.12999999999</v>
      </c>
      <c r="N137" s="74">
        <f>[1]!'@CTA[8-2-7-1-5-1541,F,3,#6]'</f>
        <v>56872.130000000019</v>
      </c>
      <c r="O137" s="66">
        <f t="shared" si="10"/>
        <v>162896.87</v>
      </c>
    </row>
    <row r="138" spans="1:15" ht="108" x14ac:dyDescent="0.2">
      <c r="A138" s="67" t="s">
        <v>282</v>
      </c>
      <c r="B138" s="61" t="s">
        <v>152</v>
      </c>
      <c r="C138" s="61" t="s">
        <v>149</v>
      </c>
      <c r="D138" s="62" t="s">
        <v>283</v>
      </c>
      <c r="E138" s="71" t="s">
        <v>153</v>
      </c>
      <c r="F138" s="72">
        <v>1542</v>
      </c>
      <c r="G138" s="73" t="s">
        <v>173</v>
      </c>
      <c r="H138" s="74">
        <f>[1]!'@CTA[8-2-1-1-5-1542,F,3,#6]'</f>
        <v>84341</v>
      </c>
      <c r="I138" s="74">
        <f>[1]!'@CTA[8-2-3-1-5-1542,F,3,#6]'</f>
        <v>0</v>
      </c>
      <c r="J138" s="75">
        <f>[1]!'@CTA[8-2-1-1-5-1542,F,3,#6]'+[1]!'@CTA[8-2-3-1-5-1542,F,3,#6]'</f>
        <v>84341</v>
      </c>
      <c r="K138" s="76">
        <f>[1]!'@CTA[8-2-4-1-5-1542,J,3,#6]'</f>
        <v>12219.56</v>
      </c>
      <c r="L138" s="76">
        <f>[1]!'@CTA[8-2-5-1-5-1542,J,3,#6]'</f>
        <v>12219.56</v>
      </c>
      <c r="M138" s="76">
        <f>[1]!'@CTA[8-2-6-1-5-1542,J,3,#6]'</f>
        <v>12219.56</v>
      </c>
      <c r="N138" s="74">
        <f>[1]!'@CTA[8-2-7-1-5-1542,F,3,#6]'</f>
        <v>9748.9899999999925</v>
      </c>
      <c r="O138" s="66">
        <f t="shared" si="10"/>
        <v>72121.440000000002</v>
      </c>
    </row>
    <row r="139" spans="1:15" ht="108" x14ac:dyDescent="0.2">
      <c r="A139" s="67" t="s">
        <v>282</v>
      </c>
      <c r="B139" s="61" t="s">
        <v>152</v>
      </c>
      <c r="C139" s="61" t="s">
        <v>149</v>
      </c>
      <c r="D139" s="62" t="s">
        <v>283</v>
      </c>
      <c r="E139" s="71" t="s">
        <v>153</v>
      </c>
      <c r="F139" s="72">
        <v>1543</v>
      </c>
      <c r="G139" s="73" t="s">
        <v>174</v>
      </c>
      <c r="H139" s="74">
        <f>[1]!'@CTA[8-2-1-1-5-1543,F,3,#6]'</f>
        <v>28360</v>
      </c>
      <c r="I139" s="74">
        <f>[1]!'@CTA[8-2-3-1-5-1543,F,3,#6]'</f>
        <v>0</v>
      </c>
      <c r="J139" s="75">
        <f>[1]!'@CTA[8-2-1-1-5-1543,F,3,#6]'+[1]!'@CTA[8-2-3-1-5-1543,F,3,#6]'</f>
        <v>28360</v>
      </c>
      <c r="K139" s="76">
        <f>[1]!'@CTA[8-2-4-1-5-1543,J,3,#6]'</f>
        <v>0</v>
      </c>
      <c r="L139" s="76">
        <f>[1]!'@CTA[8-2-5-1-5-1543,J,3,#6]'</f>
        <v>0</v>
      </c>
      <c r="M139" s="76">
        <f>[1]!'@CTA[8-2-6-1-5-1543,J,3,#6]'</f>
        <v>0</v>
      </c>
      <c r="N139" s="74">
        <f>[1]!'@CTA[8-2-7-1-5-1543,F,3,#6]'</f>
        <v>0</v>
      </c>
      <c r="O139" s="66">
        <f t="shared" si="10"/>
        <v>28360</v>
      </c>
    </row>
    <row r="140" spans="1:15" ht="108" x14ac:dyDescent="0.2">
      <c r="A140" s="67" t="s">
        <v>282</v>
      </c>
      <c r="B140" s="61" t="s">
        <v>152</v>
      </c>
      <c r="C140" s="61" t="s">
        <v>149</v>
      </c>
      <c r="D140" s="62" t="s">
        <v>283</v>
      </c>
      <c r="E140" s="71" t="s">
        <v>153</v>
      </c>
      <c r="F140" s="72">
        <v>1544</v>
      </c>
      <c r="G140" s="73" t="s">
        <v>175</v>
      </c>
      <c r="H140" s="74">
        <f>[1]!'@CTA[8-2-1-1-5-1544,F,3,#6]'</f>
        <v>0</v>
      </c>
      <c r="I140" s="74">
        <f>[1]!'@CTA[8-2-3-1-5-1544,F,3,#6]'</f>
        <v>0</v>
      </c>
      <c r="J140" s="75">
        <f>[1]!'@CTA[8-2-1-1-5-1544,F,3,#6]'+[1]!'@CTA[8-2-3-1-5-1544,F,3,#6]'</f>
        <v>0</v>
      </c>
      <c r="K140" s="76">
        <f>[1]!'@CTA[8-2-4-1-5-1544,J,3,#6]'</f>
        <v>0</v>
      </c>
      <c r="L140" s="76">
        <f>[1]!'@CTA[8-2-5-1-5-1544,J,3,#6]'</f>
        <v>0</v>
      </c>
      <c r="M140" s="76">
        <f>[1]!'@CTA[8-2-6-1-5-1544,J,3,#6]'</f>
        <v>0</v>
      </c>
      <c r="N140" s="74">
        <f>[1]!'@CTA[8-2-7-1-5-1544,F,3,#6]'</f>
        <v>0</v>
      </c>
      <c r="O140" s="66">
        <f t="shared" si="10"/>
        <v>0</v>
      </c>
    </row>
    <row r="141" spans="1:15" ht="108" x14ac:dyDescent="0.2">
      <c r="A141" s="67" t="s">
        <v>282</v>
      </c>
      <c r="B141" s="61"/>
      <c r="C141" s="61" t="s">
        <v>149</v>
      </c>
      <c r="D141" s="62" t="s">
        <v>283</v>
      </c>
      <c r="E141" s="61"/>
      <c r="F141" s="63">
        <v>2000</v>
      </c>
      <c r="G141" s="77" t="s">
        <v>176</v>
      </c>
      <c r="H141" s="69">
        <f t="shared" ref="H141:N141" si="11">SUBTOTAL(9,H142:H167)</f>
        <v>132178</v>
      </c>
      <c r="I141" s="69">
        <f t="shared" si="11"/>
        <v>-3799.9999999999964</v>
      </c>
      <c r="J141" s="69">
        <f t="shared" si="11"/>
        <v>128378</v>
      </c>
      <c r="K141" s="70">
        <f t="shared" si="11"/>
        <v>21622.05</v>
      </c>
      <c r="L141" s="70">
        <f t="shared" si="11"/>
        <v>21622.05</v>
      </c>
      <c r="M141" s="70">
        <f t="shared" si="11"/>
        <v>21622.05</v>
      </c>
      <c r="N141" s="69">
        <f t="shared" si="11"/>
        <v>21421.670000000002</v>
      </c>
      <c r="O141" s="66">
        <f t="shared" si="10"/>
        <v>106755.95</v>
      </c>
    </row>
    <row r="142" spans="1:15" ht="108" x14ac:dyDescent="0.2">
      <c r="A142" s="67" t="s">
        <v>282</v>
      </c>
      <c r="B142" s="61" t="s">
        <v>152</v>
      </c>
      <c r="C142" s="61" t="s">
        <v>149</v>
      </c>
      <c r="D142" s="62" t="s">
        <v>283</v>
      </c>
      <c r="E142" s="71" t="s">
        <v>177</v>
      </c>
      <c r="F142" s="72">
        <v>2111</v>
      </c>
      <c r="G142" s="73" t="s">
        <v>178</v>
      </c>
      <c r="H142" s="74">
        <f>[1]!'@CTA[8-2-1-2-1-2111,F,3,#6]'</f>
        <v>7177</v>
      </c>
      <c r="I142" s="74">
        <f>[1]!'@CTA[8-2-3-2-1-2111,F,3,#6]'</f>
        <v>0</v>
      </c>
      <c r="J142" s="75">
        <f>[1]!'@CTA[8-2-1-2-1-2111,F,3,#6]'+[1]!'@CTA[8-2-3-2-1-2111,F,3,#6]'</f>
        <v>7177</v>
      </c>
      <c r="K142" s="76">
        <f>[1]!'@CTA[8-2-4-2-1-2111,J,3,#6]'</f>
        <v>868.88</v>
      </c>
      <c r="L142" s="76">
        <f>[1]!'@CTA[8-2-5-2-1-2111,J,3,#6]'</f>
        <v>868.88</v>
      </c>
      <c r="M142" s="76">
        <f>[1]!'@CTA[8-2-6-2-1-2111,J,3,#6]'</f>
        <v>868.88</v>
      </c>
      <c r="N142" s="74">
        <f>[1]!'@CTA[8-2-7-2-1-2111,F,3,#6]'</f>
        <v>868.88000000000136</v>
      </c>
      <c r="O142" s="66">
        <f t="shared" si="10"/>
        <v>6308.12</v>
      </c>
    </row>
    <row r="143" spans="1:15" ht="108" x14ac:dyDescent="0.2">
      <c r="A143" s="67" t="s">
        <v>282</v>
      </c>
      <c r="B143" s="61" t="s">
        <v>152</v>
      </c>
      <c r="C143" s="61" t="s">
        <v>149</v>
      </c>
      <c r="D143" s="62" t="s">
        <v>283</v>
      </c>
      <c r="E143" s="71" t="s">
        <v>177</v>
      </c>
      <c r="F143" s="72">
        <v>2121</v>
      </c>
      <c r="G143" s="73" t="s">
        <v>179</v>
      </c>
      <c r="H143" s="74">
        <f>[1]!'@CTA[8-2-1-2-1-2121,F,3,#6]'</f>
        <v>1242</v>
      </c>
      <c r="I143" s="74">
        <f>[1]!'@CTA[8-2-3-2-1-2121,F,3,#6]'</f>
        <v>0</v>
      </c>
      <c r="J143" s="75">
        <f>[1]!'@CTA[8-2-1-2-1-2121,F,3,#6]'+[1]!'@CTA[8-2-3-2-1-2121,F,3,#6]'</f>
        <v>1242</v>
      </c>
      <c r="K143" s="76">
        <f>[1]!'@CTA[8-2-4-2-1-2121,J,3,#6]'</f>
        <v>498.97</v>
      </c>
      <c r="L143" s="76">
        <f>[1]!'@CTA[8-2-5-2-1-2121,J,3,#6]'</f>
        <v>498.97</v>
      </c>
      <c r="M143" s="76">
        <f>[1]!'@CTA[8-2-6-2-1-2121,J,3,#6]'</f>
        <v>498.97</v>
      </c>
      <c r="N143" s="74">
        <f>[1]!'@CTA[8-2-7-2-1-2121,F,3,#6]'</f>
        <v>498.97000000000025</v>
      </c>
      <c r="O143" s="66">
        <f t="shared" si="10"/>
        <v>743.03</v>
      </c>
    </row>
    <row r="144" spans="1:15" ht="108" x14ac:dyDescent="0.2">
      <c r="A144" s="67" t="s">
        <v>282</v>
      </c>
      <c r="B144" s="61" t="s">
        <v>152</v>
      </c>
      <c r="C144" s="61" t="s">
        <v>149</v>
      </c>
      <c r="D144" s="62" t="s">
        <v>283</v>
      </c>
      <c r="E144" s="71" t="s">
        <v>177</v>
      </c>
      <c r="F144" s="72">
        <v>2131</v>
      </c>
      <c r="G144" s="73" t="s">
        <v>180</v>
      </c>
      <c r="H144" s="74">
        <f>[1]!'@CTA[8-2-1-2-1-2131,F,3,#6]'</f>
        <v>0</v>
      </c>
      <c r="I144" s="74">
        <f>[1]!'@CTA[8-2-3-2-1-2131,F,3,#6]'</f>
        <v>0</v>
      </c>
      <c r="J144" s="75">
        <f>[1]!'@CTA[8-2-1-2-1-2131,F,3,#6]'+[1]!'@CTA[8-2-3-2-1-2131,F,3,#6]'</f>
        <v>0</v>
      </c>
      <c r="K144" s="76">
        <f>[1]!'@CTA[8-2-4-2-1-2131,J,3,#6]'</f>
        <v>0</v>
      </c>
      <c r="L144" s="76">
        <f>[1]!'@CTA[8-2-5-2-1-2131,J,3,#6]'</f>
        <v>0</v>
      </c>
      <c r="M144" s="76">
        <f>[1]!'@CTA[8-2-6-2-1-2131,J,3,#6]'</f>
        <v>0</v>
      </c>
      <c r="N144" s="74">
        <f>[1]!'@CTA[8-2-7-2-1-2131,F,3,#6]'</f>
        <v>0</v>
      </c>
      <c r="O144" s="66">
        <f t="shared" si="10"/>
        <v>0</v>
      </c>
    </row>
    <row r="145" spans="1:15" ht="108" x14ac:dyDescent="0.2">
      <c r="A145" s="67" t="s">
        <v>282</v>
      </c>
      <c r="B145" s="61" t="s">
        <v>152</v>
      </c>
      <c r="C145" s="61" t="s">
        <v>149</v>
      </c>
      <c r="D145" s="62" t="s">
        <v>283</v>
      </c>
      <c r="E145" s="71" t="s">
        <v>177</v>
      </c>
      <c r="F145" s="72">
        <v>2141</v>
      </c>
      <c r="G145" s="73" t="s">
        <v>181</v>
      </c>
      <c r="H145" s="74">
        <f>[1]!'@CTA[8-2-1-2-1-2141,F,3,#6]'</f>
        <v>0</v>
      </c>
      <c r="I145" s="74">
        <f>[1]!'@CTA[8-2-3-2-1-2141,F,3,#6]'</f>
        <v>0</v>
      </c>
      <c r="J145" s="75">
        <f>[1]!'@CTA[8-2-1-2-1-2141,F,3,#6]'+[1]!'@CTA[8-2-3-2-1-2141,F,3,#6]'</f>
        <v>0</v>
      </c>
      <c r="K145" s="76">
        <f>[1]!'@CTA[8-2-4-2-1-2141,J,3,#6]'</f>
        <v>0</v>
      </c>
      <c r="L145" s="76">
        <f>[1]!'@CTA[8-2-5-2-1-2141,J,3,#6]'</f>
        <v>0</v>
      </c>
      <c r="M145" s="76">
        <f>[1]!'@CTA[8-2-6-2-1-2141,J,3,#6]'</f>
        <v>0</v>
      </c>
      <c r="N145" s="74">
        <f>[1]!'@CTA[8-2-7-2-1-2141,F,3,#6]'</f>
        <v>9.0949470177292824E-13</v>
      </c>
      <c r="O145" s="66">
        <f t="shared" si="10"/>
        <v>0</v>
      </c>
    </row>
    <row r="146" spans="1:15" ht="108" x14ac:dyDescent="0.2">
      <c r="A146" s="67" t="s">
        <v>282</v>
      </c>
      <c r="B146" s="61" t="s">
        <v>152</v>
      </c>
      <c r="C146" s="61" t="s">
        <v>149</v>
      </c>
      <c r="D146" s="62" t="s">
        <v>283</v>
      </c>
      <c r="E146" s="71" t="s">
        <v>177</v>
      </c>
      <c r="F146" s="72">
        <v>2151</v>
      </c>
      <c r="G146" s="73" t="s">
        <v>182</v>
      </c>
      <c r="H146" s="74">
        <f>[1]!'@CTA[8-2-1-2-1-2151,F,3,#6]'</f>
        <v>0</v>
      </c>
      <c r="I146" s="74">
        <f>[1]!'@CTA[8-2-3-2-1-2151,F,3,#6]'</f>
        <v>0</v>
      </c>
      <c r="J146" s="75">
        <f>[1]!'@CTA[8-2-1-2-1-2151,F,3,#6]'+[1]!'@CTA[8-2-3-2-1-2151,F,3,#6]'</f>
        <v>0</v>
      </c>
      <c r="K146" s="76">
        <f>[1]!'@CTA[8-2-4-2-1-2151,J,3,#6]'</f>
        <v>0</v>
      </c>
      <c r="L146" s="76">
        <f>[1]!'@CTA[8-2-5-2-1-2151,J,3,#6]'</f>
        <v>0</v>
      </c>
      <c r="M146" s="76">
        <f>[1]!'@CTA[8-2-6-2-1-2151,J,3,#6]'</f>
        <v>0</v>
      </c>
      <c r="N146" s="74">
        <f>[1]!'@CTA[8-2-7-2-1-2151,F,3,#6]'</f>
        <v>0</v>
      </c>
      <c r="O146" s="66">
        <f t="shared" si="10"/>
        <v>0</v>
      </c>
    </row>
    <row r="147" spans="1:15" ht="108" x14ac:dyDescent="0.2">
      <c r="A147" s="67" t="s">
        <v>282</v>
      </c>
      <c r="B147" s="61" t="s">
        <v>152</v>
      </c>
      <c r="C147" s="61" t="s">
        <v>149</v>
      </c>
      <c r="D147" s="62" t="s">
        <v>283</v>
      </c>
      <c r="E147" s="71" t="s">
        <v>177</v>
      </c>
      <c r="F147" s="72">
        <v>2161</v>
      </c>
      <c r="G147" s="73" t="s">
        <v>183</v>
      </c>
      <c r="H147" s="74">
        <f>[1]!'@CTA[8-2-1-2-1-2161,F,3,#6]'</f>
        <v>17709</v>
      </c>
      <c r="I147" s="74">
        <f>[1]!'@CTA[8-2-3-2-1-2161,F,3,#6]'</f>
        <v>0</v>
      </c>
      <c r="J147" s="75">
        <f>[1]!'@CTA[8-2-1-2-1-2161,F,3,#6]'+[1]!'@CTA[8-2-3-2-1-2161,F,3,#6]'</f>
        <v>17709</v>
      </c>
      <c r="K147" s="76">
        <f>[1]!'@CTA[8-2-4-2-1-2161,J,3,#6]'</f>
        <v>3971.29</v>
      </c>
      <c r="L147" s="76">
        <f>[1]!'@CTA[8-2-5-2-1-2161,J,3,#6]'</f>
        <v>3971.29</v>
      </c>
      <c r="M147" s="76">
        <f>[1]!'@CTA[8-2-6-2-1-2161,J,3,#6]'</f>
        <v>3971.29</v>
      </c>
      <c r="N147" s="74">
        <f>[1]!'@CTA[8-2-7-2-1-2161,F,3,#6]'</f>
        <v>3971.2899999999981</v>
      </c>
      <c r="O147" s="66">
        <f t="shared" si="10"/>
        <v>13737.71</v>
      </c>
    </row>
    <row r="148" spans="1:15" ht="108" x14ac:dyDescent="0.2">
      <c r="A148" s="67" t="s">
        <v>282</v>
      </c>
      <c r="B148" s="61" t="s">
        <v>152</v>
      </c>
      <c r="C148" s="61" t="s">
        <v>149</v>
      </c>
      <c r="D148" s="62" t="s">
        <v>283</v>
      </c>
      <c r="E148" s="71" t="s">
        <v>177</v>
      </c>
      <c r="F148" s="72">
        <v>2171</v>
      </c>
      <c r="G148" s="73" t="s">
        <v>184</v>
      </c>
      <c r="H148" s="74">
        <f>[1]!'@CTA[8-2-1-2-1-2171,F,3,#6]'</f>
        <v>0</v>
      </c>
      <c r="I148" s="74">
        <f>[1]!'@CTA[8-2-3-2-1-2171,F,3,#6]'</f>
        <v>0</v>
      </c>
      <c r="J148" s="75">
        <f>[1]!'@CTA[8-2-1-2-1-2171,F,3,#6]'+[1]!'@CTA[8-2-3-2-1-2171,F,3,#6]'</f>
        <v>0</v>
      </c>
      <c r="K148" s="76">
        <f>[1]!'@CTA[8-2-4-2-1-2171,J,3,#6]'</f>
        <v>0</v>
      </c>
      <c r="L148" s="76">
        <f>[1]!'@CTA[8-2-5-2-1-2171,J,3,#6]'</f>
        <v>0</v>
      </c>
      <c r="M148" s="76">
        <f>[1]!'@CTA[8-2-6-2-1-2171,J,3,#6]'</f>
        <v>0</v>
      </c>
      <c r="N148" s="74">
        <f>[1]!'@CTA[8-2-7-2-1-2171,F,3,#6]'</f>
        <v>0</v>
      </c>
      <c r="O148" s="66">
        <f t="shared" si="10"/>
        <v>0</v>
      </c>
    </row>
    <row r="149" spans="1:15" ht="108" x14ac:dyDescent="0.2">
      <c r="A149" s="67" t="s">
        <v>282</v>
      </c>
      <c r="B149" s="61" t="s">
        <v>152</v>
      </c>
      <c r="C149" s="61" t="s">
        <v>149</v>
      </c>
      <c r="D149" s="62" t="s">
        <v>283</v>
      </c>
      <c r="E149" s="71" t="s">
        <v>177</v>
      </c>
      <c r="F149" s="72">
        <v>2211</v>
      </c>
      <c r="G149" s="73" t="s">
        <v>185</v>
      </c>
      <c r="H149" s="74">
        <f>[1]!'@CTA[8-2-1-2-2-2211,F,3,#6]'</f>
        <v>4000</v>
      </c>
      <c r="I149" s="74">
        <f>[1]!'@CTA[8-2-3-2-2-2211,F,3,#6]'</f>
        <v>-1.1368683772161603E-13</v>
      </c>
      <c r="J149" s="75">
        <f>[1]!'@CTA[8-2-1-2-2-2211,F,3,#6]'+[1]!'@CTA[8-2-3-2-2-2211,F,3,#6]'</f>
        <v>4000</v>
      </c>
      <c r="K149" s="76">
        <f>[1]!'@CTA[8-2-4-2-2-2211,J,3,#6]'</f>
        <v>761</v>
      </c>
      <c r="L149" s="76">
        <f>[1]!'@CTA[8-2-5-2-2-2211,J,3,#6]'</f>
        <v>761</v>
      </c>
      <c r="M149" s="76">
        <f>[1]!'@CTA[8-2-6-2-2-2211,J,3,#6]'</f>
        <v>761</v>
      </c>
      <c r="N149" s="74">
        <f>[1]!'@CTA[8-2-7-2-2-2211,F,3,#6]'</f>
        <v>761</v>
      </c>
      <c r="O149" s="66">
        <f t="shared" si="10"/>
        <v>3239</v>
      </c>
    </row>
    <row r="150" spans="1:15" ht="108" x14ac:dyDescent="0.2">
      <c r="A150" s="67" t="s">
        <v>282</v>
      </c>
      <c r="B150" s="61" t="s">
        <v>152</v>
      </c>
      <c r="C150" s="61" t="s">
        <v>149</v>
      </c>
      <c r="D150" s="62" t="s">
        <v>283</v>
      </c>
      <c r="E150" s="71" t="s">
        <v>177</v>
      </c>
      <c r="F150" s="72">
        <v>2221</v>
      </c>
      <c r="G150" s="73" t="s">
        <v>284</v>
      </c>
      <c r="H150" s="74">
        <f>[1]!'@CTA[8-2-1-2-2-2221,F,3,#6]'</f>
        <v>4200</v>
      </c>
      <c r="I150" s="74">
        <f>[1]!'@CTA[8-2-3-2-2-2221,F,3,#6]'</f>
        <v>0</v>
      </c>
      <c r="J150" s="75">
        <f>[1]!'@CTA[8-2-1-2-2-2221,F,3,#6]'+[1]!'@CTA[8-2-3-2-2-2221,F,3,#6]'</f>
        <v>4200</v>
      </c>
      <c r="K150" s="76">
        <f>[1]!'@CTA[8-2-4-2-2-2221,J,3,#6]'</f>
        <v>1298.73</v>
      </c>
      <c r="L150" s="76">
        <f>[1]!'@CTA[8-2-5-2-2-2221,J,3,#6]'</f>
        <v>1298.73</v>
      </c>
      <c r="M150" s="76">
        <f>[1]!'@CTA[8-2-6-2-2-2221,J,3,#6]'</f>
        <v>1298.73</v>
      </c>
      <c r="N150" s="74">
        <f>[1]!'@CTA[8-2-7-2-2-2221,F,3,#6]'</f>
        <v>1298.73</v>
      </c>
      <c r="O150" s="66">
        <f>J150-L150</f>
        <v>2901.27</v>
      </c>
    </row>
    <row r="151" spans="1:15" ht="108" x14ac:dyDescent="0.2">
      <c r="A151" s="67" t="s">
        <v>282</v>
      </c>
      <c r="B151" s="61" t="s">
        <v>152</v>
      </c>
      <c r="C151" s="61" t="s">
        <v>149</v>
      </c>
      <c r="D151" s="62" t="s">
        <v>283</v>
      </c>
      <c r="E151" s="71" t="s">
        <v>177</v>
      </c>
      <c r="F151" s="72">
        <v>2231</v>
      </c>
      <c r="G151" s="73" t="s">
        <v>186</v>
      </c>
      <c r="H151" s="74">
        <f>[1]!'@CTA[8-2-1-2-2-2231,F,3,#6]'</f>
        <v>2052</v>
      </c>
      <c r="I151" s="74">
        <f>[1]!'@CTA[8-2-3-2-2-2231,F,3,#6]'</f>
        <v>0</v>
      </c>
      <c r="J151" s="75">
        <f>[1]!'@CTA[8-2-1-2-2-2231,F,3,#6]'+[1]!'@CTA[8-2-3-2-2-2231,F,3,#6]'</f>
        <v>2052</v>
      </c>
      <c r="K151" s="76">
        <f>[1]!'@CTA[8-2-4-2-2-2231,J,3,#6]'</f>
        <v>386.19</v>
      </c>
      <c r="L151" s="76">
        <f>[1]!'@CTA[8-2-5-2-2-2231,J,3,#6]'</f>
        <v>386.19</v>
      </c>
      <c r="M151" s="76">
        <f>[1]!'@CTA[8-2-6-2-2-2231,J,3,#6]'</f>
        <v>386.19</v>
      </c>
      <c r="N151" s="74">
        <f>[1]!'@CTA[8-2-7-2-2-2231,F,3,#6]'</f>
        <v>326.9699999999994</v>
      </c>
      <c r="O151" s="66">
        <f t="shared" si="10"/>
        <v>1665.81</v>
      </c>
    </row>
    <row r="152" spans="1:15" ht="108" x14ac:dyDescent="0.2">
      <c r="A152" s="67" t="s">
        <v>282</v>
      </c>
      <c r="B152" s="61" t="s">
        <v>152</v>
      </c>
      <c r="C152" s="61" t="s">
        <v>149</v>
      </c>
      <c r="D152" s="62" t="s">
        <v>283</v>
      </c>
      <c r="E152" s="71" t="s">
        <v>177</v>
      </c>
      <c r="F152" s="72">
        <v>2411</v>
      </c>
      <c r="G152" s="73" t="s">
        <v>187</v>
      </c>
      <c r="H152" s="74">
        <f>[1]!'@CTA[8-2-1-2-4-2411,F,3,#6]'</f>
        <v>10000</v>
      </c>
      <c r="I152" s="74">
        <f>[1]!'@CTA[8-2-3-2-4-2411,F,3,#6]'</f>
        <v>0</v>
      </c>
      <c r="J152" s="75">
        <f>[1]!'@CTA[8-2-1-2-4-2411,F,3,#6]'+[1]!'@CTA[8-2-3-2-4-2411,F,3,#6]'</f>
        <v>10000</v>
      </c>
      <c r="K152" s="76">
        <f>[1]!'@CTA[8-2-4-2-4-2411,J,3,#6]'</f>
        <v>0</v>
      </c>
      <c r="L152" s="76">
        <f>[1]!'@CTA[8-2-5-2-4-2411,J,3,#6]'</f>
        <v>0</v>
      </c>
      <c r="M152" s="76">
        <f>[1]!'@CTA[8-2-6-2-4-2411,J,3,#6]'</f>
        <v>0</v>
      </c>
      <c r="N152" s="74">
        <f>[1]!'@CTA[8-2-7-2-4-2411,F,3,#6]'</f>
        <v>0</v>
      </c>
      <c r="O152" s="66">
        <f t="shared" si="10"/>
        <v>10000</v>
      </c>
    </row>
    <row r="153" spans="1:15" ht="108" x14ac:dyDescent="0.2">
      <c r="A153" s="67" t="s">
        <v>282</v>
      </c>
      <c r="B153" s="61" t="s">
        <v>152</v>
      </c>
      <c r="C153" s="61" t="s">
        <v>149</v>
      </c>
      <c r="D153" s="62" t="s">
        <v>283</v>
      </c>
      <c r="E153" s="71" t="s">
        <v>177</v>
      </c>
      <c r="F153" s="72">
        <v>2461</v>
      </c>
      <c r="G153" s="73" t="s">
        <v>188</v>
      </c>
      <c r="H153" s="74">
        <f>[1]!'@CTA[8-2-1-2-4-2461,F,3,#6]'</f>
        <v>2400</v>
      </c>
      <c r="I153" s="74">
        <f>[1]!'@CTA[8-2-3-2-4-2461,F,3,#6]'</f>
        <v>0</v>
      </c>
      <c r="J153" s="75">
        <f>[1]!'@CTA[8-2-1-2-4-2461,F,3,#6]'+[1]!'@CTA[8-2-3-2-4-2461,F,3,#6]'</f>
        <v>2400</v>
      </c>
      <c r="K153" s="76">
        <f>[1]!'@CTA[8-2-4-2-4-2461,J,3,#6]'</f>
        <v>0</v>
      </c>
      <c r="L153" s="76">
        <f>[1]!'@CTA[8-2-5-2-4-2461,J,3,#6]'</f>
        <v>0</v>
      </c>
      <c r="M153" s="76">
        <f>[1]!'@CTA[8-2-6-2-4-2461,J,3,#6]'</f>
        <v>0</v>
      </c>
      <c r="N153" s="74">
        <f>[1]!'@CTA[8-2-7-2-4-2461,F,3,#6]'</f>
        <v>2.8421709430404007E-14</v>
      </c>
      <c r="O153" s="66">
        <f t="shared" si="10"/>
        <v>2400</v>
      </c>
    </row>
    <row r="154" spans="1:15" ht="108" x14ac:dyDescent="0.2">
      <c r="A154" s="67" t="s">
        <v>282</v>
      </c>
      <c r="B154" s="61" t="s">
        <v>152</v>
      </c>
      <c r="C154" s="61" t="s">
        <v>149</v>
      </c>
      <c r="D154" s="62" t="s">
        <v>283</v>
      </c>
      <c r="E154" s="71" t="s">
        <v>177</v>
      </c>
      <c r="F154" s="72">
        <v>2471</v>
      </c>
      <c r="G154" s="73" t="s">
        <v>189</v>
      </c>
      <c r="H154" s="74">
        <f>[1]!'@CTA[8-2-1-2-4-2471,F,3,#6]'</f>
        <v>27201</v>
      </c>
      <c r="I154" s="74">
        <f>[1]!'@CTA[8-2-3-2-4-2471,F,3,#6]'</f>
        <v>-3799.9999999999964</v>
      </c>
      <c r="J154" s="75">
        <f>[1]!'@CTA[8-2-1-2-4-2471,F,3,#6]'+[1]!'@CTA[8-2-3-2-4-2471,F,3,#6]'</f>
        <v>23401.000000000004</v>
      </c>
      <c r="K154" s="76">
        <f>[1]!'@CTA[8-2-4-2-4-2471,J,3,#6]'</f>
        <v>180</v>
      </c>
      <c r="L154" s="76">
        <f>[1]!'@CTA[8-2-5-2-4-2471,J,3,#6]'</f>
        <v>180</v>
      </c>
      <c r="M154" s="76">
        <f>[1]!'@CTA[8-2-6-2-4-2471,J,3,#6]'</f>
        <v>180</v>
      </c>
      <c r="N154" s="74">
        <f>[1]!'@CTA[8-2-7-2-4-2471,F,3,#6]'</f>
        <v>180.00000000000364</v>
      </c>
      <c r="O154" s="66">
        <f t="shared" si="10"/>
        <v>23221.000000000004</v>
      </c>
    </row>
    <row r="155" spans="1:15" ht="108" x14ac:dyDescent="0.2">
      <c r="A155" s="67" t="s">
        <v>282</v>
      </c>
      <c r="B155" s="61" t="s">
        <v>152</v>
      </c>
      <c r="C155" s="61" t="s">
        <v>149</v>
      </c>
      <c r="D155" s="62" t="s">
        <v>283</v>
      </c>
      <c r="E155" s="71" t="s">
        <v>177</v>
      </c>
      <c r="F155" s="72">
        <v>2481</v>
      </c>
      <c r="G155" s="73" t="s">
        <v>190</v>
      </c>
      <c r="H155" s="74">
        <f>[1]!'@CTA[8-2-1-2-4-2481,F,3,#6]'</f>
        <v>0</v>
      </c>
      <c r="I155" s="74">
        <f>[1]!'@CTA[8-2-3-2-4-2481,F,3,#6]'</f>
        <v>0</v>
      </c>
      <c r="J155" s="75">
        <f>[1]!'@CTA[8-2-1-2-4-2481,F,3,#6]'+[1]!'@CTA[8-2-3-2-4-2481,F,3,#6]'</f>
        <v>0</v>
      </c>
      <c r="K155" s="76">
        <f>[1]!'@CTA[8-2-4-2-4-2481,J,3,#6]'</f>
        <v>0</v>
      </c>
      <c r="L155" s="76">
        <f>[1]!'@CTA[8-2-5-2-4-2481,J,3,#6]'</f>
        <v>0</v>
      </c>
      <c r="M155" s="76">
        <f>[1]!'@CTA[8-2-6-2-4-2481,J,3,#6]'</f>
        <v>0</v>
      </c>
      <c r="N155" s="74">
        <f>[1]!'@CTA[8-2-7-2-4-2481,F,3,#6]'</f>
        <v>0</v>
      </c>
      <c r="O155" s="66">
        <f t="shared" si="10"/>
        <v>0</v>
      </c>
    </row>
    <row r="156" spans="1:15" ht="108" x14ac:dyDescent="0.2">
      <c r="A156" s="67" t="s">
        <v>282</v>
      </c>
      <c r="B156" s="61" t="s">
        <v>152</v>
      </c>
      <c r="C156" s="61" t="s">
        <v>149</v>
      </c>
      <c r="D156" s="62" t="s">
        <v>283</v>
      </c>
      <c r="E156" s="71" t="s">
        <v>177</v>
      </c>
      <c r="F156" s="72">
        <v>2491</v>
      </c>
      <c r="G156" s="73" t="s">
        <v>191</v>
      </c>
      <c r="H156" s="74">
        <f>[1]!'@CTA[8-2-1-2-4-2491,F,3,#6]'</f>
        <v>0</v>
      </c>
      <c r="I156" s="74">
        <f>[1]!'@CTA[8-2-3-2-4-2491,F,3,#6]'</f>
        <v>0</v>
      </c>
      <c r="J156" s="75">
        <f>[1]!'@CTA[8-2-1-2-4-2491,F,3,#6]'+[1]!'@CTA[8-2-3-2-4-2491,F,3,#6]'</f>
        <v>0</v>
      </c>
      <c r="K156" s="76">
        <f>[1]!'@CTA[8-2-4-2-4-2491,J,3,#6]'</f>
        <v>0</v>
      </c>
      <c r="L156" s="76">
        <f>[1]!'@CTA[8-2-5-2-4-2491,J,3,#6]'</f>
        <v>0</v>
      </c>
      <c r="M156" s="76">
        <f>[1]!'@CTA[8-2-6-2-4-2491,J,3,#6]'</f>
        <v>0</v>
      </c>
      <c r="N156" s="74">
        <f>[1]!'@CTA[8-2-7-2-4-2491,F,3,#6]'</f>
        <v>0</v>
      </c>
      <c r="O156" s="66">
        <f t="shared" si="10"/>
        <v>0</v>
      </c>
    </row>
    <row r="157" spans="1:15" ht="108" x14ac:dyDescent="0.2">
      <c r="A157" s="67" t="s">
        <v>282</v>
      </c>
      <c r="B157" s="61" t="s">
        <v>152</v>
      </c>
      <c r="C157" s="61" t="s">
        <v>149</v>
      </c>
      <c r="D157" s="62" t="s">
        <v>283</v>
      </c>
      <c r="E157" s="71" t="s">
        <v>177</v>
      </c>
      <c r="F157" s="72">
        <v>2492</v>
      </c>
      <c r="G157" s="73" t="s">
        <v>192</v>
      </c>
      <c r="H157" s="74">
        <f>[1]!'@CTA[8-2-1-2-4-2492,F,3,#6]'</f>
        <v>0</v>
      </c>
      <c r="I157" s="74">
        <f>[1]!'@CTA[8-2-3-2-4-2492,F,3,#6]'</f>
        <v>0</v>
      </c>
      <c r="J157" s="75">
        <f>[1]!'@CTA[8-2-1-2-4-2492,F,3,#6]'+[1]!'@CTA[8-2-3-2-4-2492,F,3,#6]'</f>
        <v>0</v>
      </c>
      <c r="K157" s="76">
        <f>[1]!'@CTA[8-2-4-2-4-2492,J,3,#6]'</f>
        <v>0</v>
      </c>
      <c r="L157" s="76">
        <f>[1]!'@CTA[8-2-5-2-4-2492,J,3,#6]'</f>
        <v>0</v>
      </c>
      <c r="M157" s="76">
        <f>[1]!'@CTA[8-2-6-2-4-2492,J,3,#6]'</f>
        <v>0</v>
      </c>
      <c r="N157" s="74">
        <f>[1]!'@CTA[8-2-7-2-4-2492,F,3,#6]'</f>
        <v>0</v>
      </c>
      <c r="O157" s="66">
        <f t="shared" si="10"/>
        <v>0</v>
      </c>
    </row>
    <row r="158" spans="1:15" ht="108" x14ac:dyDescent="0.2">
      <c r="A158" s="67" t="s">
        <v>282</v>
      </c>
      <c r="B158" s="61" t="s">
        <v>152</v>
      </c>
      <c r="C158" s="61" t="s">
        <v>149</v>
      </c>
      <c r="D158" s="62" t="s">
        <v>283</v>
      </c>
      <c r="E158" s="71" t="s">
        <v>177</v>
      </c>
      <c r="F158" s="72">
        <v>2531</v>
      </c>
      <c r="G158" s="73" t="s">
        <v>193</v>
      </c>
      <c r="H158" s="74">
        <f>[1]!'@CTA[8-2-1-2-5-2531,F,3,#6]'</f>
        <v>3000</v>
      </c>
      <c r="I158" s="74">
        <f>[1]!'@CTA[8-2-3-2-5-2531,F,3,#6]'</f>
        <v>0</v>
      </c>
      <c r="J158" s="75">
        <f>[1]!'@CTA[8-2-1-2-5-2531,F,3,#6]'+[1]!'@CTA[8-2-3-2-5-2531,F,3,#6]'</f>
        <v>3000</v>
      </c>
      <c r="K158" s="76">
        <f>[1]!'@CTA[8-2-4-2-5-2531,J,3,#6]'</f>
        <v>0</v>
      </c>
      <c r="L158" s="76">
        <f>[1]!'@CTA[8-2-5-2-5-2531,J,3,#6]'</f>
        <v>0</v>
      </c>
      <c r="M158" s="76">
        <f>[1]!'@CTA[8-2-6-2-5-2531,J,3,#6]'</f>
        <v>0</v>
      </c>
      <c r="N158" s="74">
        <f>[1]!'@CTA[8-2-7-2-5-2531,F,3,#6]'</f>
        <v>0</v>
      </c>
      <c r="O158" s="66">
        <f t="shared" si="10"/>
        <v>3000</v>
      </c>
    </row>
    <row r="159" spans="1:15" ht="108" x14ac:dyDescent="0.2">
      <c r="A159" s="67" t="s">
        <v>282</v>
      </c>
      <c r="B159" s="61" t="s">
        <v>152</v>
      </c>
      <c r="C159" s="61" t="s">
        <v>149</v>
      </c>
      <c r="D159" s="62" t="s">
        <v>283</v>
      </c>
      <c r="E159" s="71" t="s">
        <v>177</v>
      </c>
      <c r="F159" s="72">
        <v>2551</v>
      </c>
      <c r="G159" s="73" t="s">
        <v>194</v>
      </c>
      <c r="H159" s="74">
        <f>[1]!'@CTA[8-2-1-2-5-2551,F,3,#6]'</f>
        <v>0</v>
      </c>
      <c r="I159" s="74">
        <f>[1]!'@CTA[8-2-3-2-5-2551,F,3,#6]'</f>
        <v>0</v>
      </c>
      <c r="J159" s="75">
        <f>[1]!'@CTA[8-2-1-2-5-2551,F,3,#6]'+[1]!'@CTA[8-2-3-2-5-2551,F,3,#6]'</f>
        <v>0</v>
      </c>
      <c r="K159" s="76">
        <f>[1]!'@CTA[8-2-4-2-5-2551,J,3,#6]'</f>
        <v>0</v>
      </c>
      <c r="L159" s="76">
        <f>[1]!'@CTA[8-2-5-2-5-2551,J,3,#6]'</f>
        <v>0</v>
      </c>
      <c r="M159" s="76">
        <f>[1]!'@CTA[8-2-6-2-5-2551,J,3,#6]'</f>
        <v>0</v>
      </c>
      <c r="N159" s="74">
        <f>[1]!'@CTA[8-2-7-2-5-2551,F,3,#6]'</f>
        <v>0</v>
      </c>
      <c r="O159" s="66">
        <f t="shared" si="10"/>
        <v>0</v>
      </c>
    </row>
    <row r="160" spans="1:15" ht="108" x14ac:dyDescent="0.2">
      <c r="A160" s="67" t="s">
        <v>282</v>
      </c>
      <c r="B160" s="61" t="s">
        <v>152</v>
      </c>
      <c r="C160" s="61" t="s">
        <v>149</v>
      </c>
      <c r="D160" s="62" t="s">
        <v>283</v>
      </c>
      <c r="E160" s="71" t="s">
        <v>177</v>
      </c>
      <c r="F160" s="72">
        <v>2591</v>
      </c>
      <c r="G160" s="73" t="s">
        <v>195</v>
      </c>
      <c r="H160" s="74">
        <f>[1]!'@CTA[8-2-1-2-5-2591,F,3,#6]'</f>
        <v>852</v>
      </c>
      <c r="I160" s="74">
        <f>[1]!'@CTA[8-2-3-2-5-2591,F,3,#6]'</f>
        <v>0</v>
      </c>
      <c r="J160" s="75">
        <f>[1]!'@CTA[8-2-1-2-5-2591,F,3,#6]'+[1]!'@CTA[8-2-3-2-5-2591,F,3,#6]'</f>
        <v>852</v>
      </c>
      <c r="K160" s="76">
        <f>[1]!'@CTA[8-2-4-2-5-2591,J,3,#6]'</f>
        <v>26.94</v>
      </c>
      <c r="L160" s="76">
        <f>[1]!'@CTA[8-2-5-2-5-2591,J,3,#6]'</f>
        <v>26.94</v>
      </c>
      <c r="M160" s="76">
        <f>[1]!'@CTA[8-2-6-2-5-2591,J,3,#6]'</f>
        <v>26.94</v>
      </c>
      <c r="N160" s="74">
        <f>[1]!'@CTA[8-2-7-2-5-2591,F,3,#6]'</f>
        <v>5.1159076974727213E-13</v>
      </c>
      <c r="O160" s="66">
        <f t="shared" si="10"/>
        <v>825.06</v>
      </c>
    </row>
    <row r="161" spans="1:15" ht="108" x14ac:dyDescent="0.2">
      <c r="A161" s="67" t="s">
        <v>282</v>
      </c>
      <c r="B161" s="61" t="s">
        <v>152</v>
      </c>
      <c r="C161" s="61" t="s">
        <v>149</v>
      </c>
      <c r="D161" s="62" t="s">
        <v>283</v>
      </c>
      <c r="E161" s="71" t="s">
        <v>177</v>
      </c>
      <c r="F161" s="72">
        <v>2611</v>
      </c>
      <c r="G161" s="73" t="s">
        <v>196</v>
      </c>
      <c r="H161" s="74">
        <f>[1]!'@CTA[8-2-1-2-6-2611,F,3,#6]'</f>
        <v>0</v>
      </c>
      <c r="I161" s="74">
        <f>[1]!'@CTA[8-2-3-2-6-2611,F,3,#6]'</f>
        <v>0</v>
      </c>
      <c r="J161" s="75">
        <f>[1]!'@CTA[8-2-1-2-6-2611,F,3,#6]'+[1]!'@CTA[8-2-3-2-6-2611,F,3,#6]'</f>
        <v>0</v>
      </c>
      <c r="K161" s="76">
        <f>[1]!'@CTA[8-2-4-2-6-2611,J,3,#6]'</f>
        <v>0</v>
      </c>
      <c r="L161" s="76">
        <f>[1]!'@CTA[8-2-5-2-6-2611,J,3,#6]'</f>
        <v>0</v>
      </c>
      <c r="M161" s="76">
        <f>[1]!'@CTA[8-2-6-2-6-2611,J,3,#6]'</f>
        <v>0</v>
      </c>
      <c r="N161" s="74">
        <f>[1]!'@CTA[8-2-7-2-6-2611,F,3,#6]'</f>
        <v>0</v>
      </c>
      <c r="O161" s="66">
        <f t="shared" si="10"/>
        <v>0</v>
      </c>
    </row>
    <row r="162" spans="1:15" ht="108" x14ac:dyDescent="0.2">
      <c r="A162" s="67" t="s">
        <v>282</v>
      </c>
      <c r="B162" s="61" t="s">
        <v>152</v>
      </c>
      <c r="C162" s="61" t="s">
        <v>149</v>
      </c>
      <c r="D162" s="62" t="s">
        <v>283</v>
      </c>
      <c r="E162" s="71" t="s">
        <v>177</v>
      </c>
      <c r="F162" s="72">
        <v>2612</v>
      </c>
      <c r="G162" s="73" t="s">
        <v>197</v>
      </c>
      <c r="H162" s="74">
        <f>[1]!'@CTA[8-2-1-2-6-2612,F,3,#6]'</f>
        <v>0</v>
      </c>
      <c r="I162" s="74">
        <f>[1]!'@CTA[8-2-3-2-6-2612,F,3,#6]'</f>
        <v>0</v>
      </c>
      <c r="J162" s="75">
        <f>[1]!'@CTA[8-2-1-2-6-2612,F,3,#6]'+[1]!'@CTA[8-2-3-2-6-2612,F,3,#6]'</f>
        <v>0</v>
      </c>
      <c r="K162" s="76">
        <f>[1]!'@CTA[8-2-4-2-6-2612,J,3,#6]'</f>
        <v>0</v>
      </c>
      <c r="L162" s="76">
        <f>[1]!'@CTA[8-2-5-2-6-2612,J,3,#6]'</f>
        <v>0</v>
      </c>
      <c r="M162" s="76">
        <f>[1]!'@CTA[8-2-6-2-6-2612,J,3,#6]'</f>
        <v>0</v>
      </c>
      <c r="N162" s="74">
        <f>[1]!'@CTA[8-2-7-2-6-2612,F,3,#6]'</f>
        <v>0</v>
      </c>
      <c r="O162" s="66">
        <f t="shared" si="10"/>
        <v>0</v>
      </c>
    </row>
    <row r="163" spans="1:15" ht="108" x14ac:dyDescent="0.2">
      <c r="A163" s="67" t="s">
        <v>282</v>
      </c>
      <c r="B163" s="61" t="s">
        <v>152</v>
      </c>
      <c r="C163" s="61" t="s">
        <v>149</v>
      </c>
      <c r="D163" s="62" t="s">
        <v>283</v>
      </c>
      <c r="E163" s="71" t="s">
        <v>177</v>
      </c>
      <c r="F163" s="72">
        <v>2711</v>
      </c>
      <c r="G163" s="73" t="s">
        <v>198</v>
      </c>
      <c r="H163" s="74">
        <f>[1]!'@CTA[8-2-1-2-7-2711,F,3,#6]'</f>
        <v>9600</v>
      </c>
      <c r="I163" s="74">
        <f>[1]!'@CTA[8-2-3-2-7-2711,F,3,#6]'</f>
        <v>0</v>
      </c>
      <c r="J163" s="75">
        <f>[1]!'@CTA[8-2-1-2-7-2711,F,3,#6]'+[1]!'@CTA[8-2-3-2-7-2711,F,3,#6]'</f>
        <v>9600</v>
      </c>
      <c r="K163" s="76">
        <f>[1]!'@CTA[8-2-4-2-7-2711,J,3,#6]'</f>
        <v>4980</v>
      </c>
      <c r="L163" s="76">
        <f>[1]!'@CTA[8-2-5-2-7-2711,J,3,#6]'</f>
        <v>4980</v>
      </c>
      <c r="M163" s="76">
        <f>[1]!'@CTA[8-2-6-2-7-2711,J,3,#6]'</f>
        <v>4980</v>
      </c>
      <c r="N163" s="74">
        <f>[1]!'@CTA[8-2-7-2-7-2711,F,3,#6]'</f>
        <v>4980</v>
      </c>
      <c r="O163" s="66">
        <f t="shared" si="10"/>
        <v>4620</v>
      </c>
    </row>
    <row r="164" spans="1:15" ht="108" x14ac:dyDescent="0.2">
      <c r="A164" s="67" t="s">
        <v>282</v>
      </c>
      <c r="B164" s="61" t="s">
        <v>152</v>
      </c>
      <c r="C164" s="61" t="s">
        <v>149</v>
      </c>
      <c r="D164" s="62" t="s">
        <v>283</v>
      </c>
      <c r="E164" s="71" t="s">
        <v>177</v>
      </c>
      <c r="F164" s="72">
        <v>2712</v>
      </c>
      <c r="G164" s="73" t="s">
        <v>199</v>
      </c>
      <c r="H164" s="74">
        <f>[1]!'@CTA[8-2-1-2-7-2712,F,3,#6]'</f>
        <v>36824</v>
      </c>
      <c r="I164" s="74">
        <f>[1]!'@CTA[8-2-3-2-7-2712,F,3,#6]'</f>
        <v>0</v>
      </c>
      <c r="J164" s="75">
        <f>[1]!'@CTA[8-2-1-2-7-2712,F,3,#6]'+[1]!'@CTA[8-2-3-2-7-2712,F,3,#6]'</f>
        <v>36824</v>
      </c>
      <c r="K164" s="76">
        <f>[1]!'@CTA[8-2-4-2-7-2712,J,3,#6]'</f>
        <v>7994.62</v>
      </c>
      <c r="L164" s="76">
        <f>[1]!'@CTA[8-2-5-2-7-2712,J,3,#6]'</f>
        <v>7994.62</v>
      </c>
      <c r="M164" s="76">
        <f>[1]!'@CTA[8-2-6-2-7-2712,J,3,#6]'</f>
        <v>7994.62</v>
      </c>
      <c r="N164" s="74">
        <f>[1]!'@CTA[8-2-7-2-7-2712,F,3,#6]'</f>
        <v>7994.62</v>
      </c>
      <c r="O164" s="66">
        <f t="shared" si="10"/>
        <v>28829.38</v>
      </c>
    </row>
    <row r="165" spans="1:15" ht="108" x14ac:dyDescent="0.2">
      <c r="A165" s="67" t="s">
        <v>282</v>
      </c>
      <c r="B165" s="61" t="s">
        <v>152</v>
      </c>
      <c r="C165" s="61" t="s">
        <v>149</v>
      </c>
      <c r="D165" s="62" t="s">
        <v>283</v>
      </c>
      <c r="E165" s="71" t="s">
        <v>177</v>
      </c>
      <c r="F165" s="72">
        <v>2721</v>
      </c>
      <c r="G165" s="73" t="s">
        <v>200</v>
      </c>
      <c r="H165" s="74">
        <f>[1]!'@CTA[8-2-1-2-7-2721,F,3,#6]'</f>
        <v>0</v>
      </c>
      <c r="I165" s="74">
        <f>[1]!'@CTA[8-2-3-2-7-2721,F,3,#6]'</f>
        <v>0</v>
      </c>
      <c r="J165" s="75">
        <f>[1]!'@CTA[8-2-1-2-7-2721,F,3,#6]'+[1]!'@CTA[8-2-3-2-7-2721,F,3,#6]'</f>
        <v>0</v>
      </c>
      <c r="K165" s="76">
        <f>[1]!'@CTA[8-2-4-2-7-2721,J,3,#6]'</f>
        <v>0</v>
      </c>
      <c r="L165" s="76">
        <f>[1]!'@CTA[8-2-5-2-7-2721,J,3,#6]'</f>
        <v>0</v>
      </c>
      <c r="M165" s="76">
        <f>[1]!'@CTA[8-2-6-2-7-2721,J,3,#6]'</f>
        <v>0</v>
      </c>
      <c r="N165" s="74">
        <f>[1]!'@CTA[8-2-7-2-7-2721,F,3,#6]'</f>
        <v>0</v>
      </c>
      <c r="O165" s="66">
        <f t="shared" si="10"/>
        <v>0</v>
      </c>
    </row>
    <row r="166" spans="1:15" ht="108" x14ac:dyDescent="0.2">
      <c r="A166" s="67" t="s">
        <v>282</v>
      </c>
      <c r="B166" s="61" t="s">
        <v>152</v>
      </c>
      <c r="C166" s="61" t="s">
        <v>149</v>
      </c>
      <c r="D166" s="62" t="s">
        <v>283</v>
      </c>
      <c r="E166" s="71" t="s">
        <v>177</v>
      </c>
      <c r="F166" s="72">
        <v>2731</v>
      </c>
      <c r="G166" s="73" t="s">
        <v>201</v>
      </c>
      <c r="H166" s="74">
        <f>[1]!'@CTA[8-2-1-2-7-2731,F,3,#6]'</f>
        <v>0</v>
      </c>
      <c r="I166" s="74">
        <f>[1]!'@CTA[8-2-3-2-7-2731,F,3,#6]'</f>
        <v>0</v>
      </c>
      <c r="J166" s="75">
        <f>[1]!'@CTA[8-2-1-2-7-2731,F,3,#6]'+[1]!'@CTA[8-2-3-2-7-2731,F,3,#6]'</f>
        <v>0</v>
      </c>
      <c r="K166" s="76">
        <f>[1]!'@CTA[8-2-4-2-7-2731,J,3,#6]'</f>
        <v>0</v>
      </c>
      <c r="L166" s="76">
        <f>[1]!'@CTA[8-2-5-2-7-2731,J,3,#6]'</f>
        <v>0</v>
      </c>
      <c r="M166" s="76">
        <f>[1]!'@CTA[8-2-6-2-7-2731,J,3,#6]'</f>
        <v>0</v>
      </c>
      <c r="N166" s="74">
        <f>[1]!'@CTA[8-2-7-2-7-2731,F,3,#6]'</f>
        <v>0</v>
      </c>
      <c r="O166" s="66">
        <f t="shared" si="10"/>
        <v>0</v>
      </c>
    </row>
    <row r="167" spans="1:15" ht="108" x14ac:dyDescent="0.2">
      <c r="A167" s="67" t="s">
        <v>282</v>
      </c>
      <c r="B167" s="61" t="s">
        <v>152</v>
      </c>
      <c r="C167" s="61" t="s">
        <v>149</v>
      </c>
      <c r="D167" s="62" t="s">
        <v>283</v>
      </c>
      <c r="E167" s="71" t="s">
        <v>177</v>
      </c>
      <c r="F167" s="72">
        <v>2911</v>
      </c>
      <c r="G167" s="73" t="s">
        <v>202</v>
      </c>
      <c r="H167" s="74">
        <f>[1]!'@CTA[8-2-1-2-9-2911,F,3,#6]'</f>
        <v>5921</v>
      </c>
      <c r="I167" s="74">
        <f>[1]!'@CTA[8-2-3-2-9-2911,F,3,#6]'</f>
        <v>1.1368683772161603E-13</v>
      </c>
      <c r="J167" s="75">
        <f>[1]!'@CTA[8-2-1-2-9-2911,F,3,#6]'+[1]!'@CTA[8-2-3-2-9-2911,F,3,#6]'</f>
        <v>5921</v>
      </c>
      <c r="K167" s="76">
        <f>[1]!'@CTA[8-2-4-2-9-2911,J,3,#6]'</f>
        <v>655.43000000000006</v>
      </c>
      <c r="L167" s="76">
        <f>[1]!'@CTA[8-2-5-2-9-2911,J,3,#6]'</f>
        <v>655.43000000000006</v>
      </c>
      <c r="M167" s="76">
        <f>[1]!'@CTA[8-2-6-2-9-2911,J,3,#6]'</f>
        <v>655.43000000000006</v>
      </c>
      <c r="N167" s="74">
        <f>[1]!'@CTA[8-2-7-2-9-2911,F,3,#6]'</f>
        <v>541.20999999999913</v>
      </c>
      <c r="O167" s="66">
        <f t="shared" si="10"/>
        <v>5265.57</v>
      </c>
    </row>
    <row r="168" spans="1:15" ht="108" x14ac:dyDescent="0.2">
      <c r="A168" s="67" t="s">
        <v>282</v>
      </c>
      <c r="B168" s="61"/>
      <c r="C168" s="61" t="s">
        <v>149</v>
      </c>
      <c r="D168" s="62" t="s">
        <v>283</v>
      </c>
      <c r="E168" s="61"/>
      <c r="F168" s="63">
        <v>3000</v>
      </c>
      <c r="G168" s="77" t="s">
        <v>203</v>
      </c>
      <c r="H168" s="69">
        <f t="shared" ref="H168:N168" si="12">SUBTOTAL(9,H169:H218)</f>
        <v>169685</v>
      </c>
      <c r="I168" s="69">
        <f t="shared" si="12"/>
        <v>7624.36</v>
      </c>
      <c r="J168" s="69">
        <f t="shared" si="12"/>
        <v>177309.36000000002</v>
      </c>
      <c r="K168" s="70">
        <f t="shared" si="12"/>
        <v>32318.78</v>
      </c>
      <c r="L168" s="70">
        <f t="shared" si="12"/>
        <v>32318.78</v>
      </c>
      <c r="M168" s="70">
        <f t="shared" si="12"/>
        <v>32318.78</v>
      </c>
      <c r="N168" s="69">
        <f t="shared" si="12"/>
        <v>29938.350000000024</v>
      </c>
      <c r="O168" s="66">
        <f t="shared" si="10"/>
        <v>144990.58000000002</v>
      </c>
    </row>
    <row r="169" spans="1:15" ht="108" x14ac:dyDescent="0.2">
      <c r="A169" s="67" t="s">
        <v>282</v>
      </c>
      <c r="B169" s="61" t="s">
        <v>152</v>
      </c>
      <c r="C169" s="61" t="s">
        <v>149</v>
      </c>
      <c r="D169" s="62" t="s">
        <v>283</v>
      </c>
      <c r="E169" s="71" t="s">
        <v>177</v>
      </c>
      <c r="F169" s="72">
        <v>3111</v>
      </c>
      <c r="G169" s="73" t="s">
        <v>204</v>
      </c>
      <c r="H169" s="74">
        <f>[1]!'@CTA[8-2-1-3-1-3111,F,3,#6]'</f>
        <v>5605</v>
      </c>
      <c r="I169" s="74">
        <f>[1]!'@CTA[8-2-3-3-1-3111,F,3,#6]'</f>
        <v>0</v>
      </c>
      <c r="J169" s="75">
        <f>[1]!'@CTA[8-2-1-3-1-3111,F,3,#6]'+[1]!'@CTA[8-2-3-3-1-3111,F,3,#6]'</f>
        <v>5605</v>
      </c>
      <c r="K169" s="76">
        <f>[1]!'@CTA[8-2-4-3-1-3111,J,3,#6]'</f>
        <v>2187.1799999999998</v>
      </c>
      <c r="L169" s="76">
        <f>[1]!'@CTA[8-2-5-3-1-3111,J,3,#6]'</f>
        <v>2187.1799999999998</v>
      </c>
      <c r="M169" s="76">
        <f>[1]!'@CTA[8-2-6-3-1-3111,J,3,#6]'</f>
        <v>2187.1799999999998</v>
      </c>
      <c r="N169" s="74">
        <f>[1]!'@CTA[8-2-7-3-1-3111,F,3,#6]'</f>
        <v>2187.1800000000017</v>
      </c>
      <c r="O169" s="66">
        <f t="shared" si="10"/>
        <v>3417.82</v>
      </c>
    </row>
    <row r="170" spans="1:15" ht="108" x14ac:dyDescent="0.2">
      <c r="A170" s="67" t="s">
        <v>282</v>
      </c>
      <c r="B170" s="61" t="s">
        <v>152</v>
      </c>
      <c r="C170" s="61" t="s">
        <v>149</v>
      </c>
      <c r="D170" s="62" t="s">
        <v>283</v>
      </c>
      <c r="E170" s="71" t="s">
        <v>177</v>
      </c>
      <c r="F170" s="72">
        <v>3131</v>
      </c>
      <c r="G170" s="73" t="s">
        <v>205</v>
      </c>
      <c r="H170" s="74">
        <f>[1]!'@CTA[8-2-1-3-1-3131,F,3,#6]'</f>
        <v>960</v>
      </c>
      <c r="I170" s="74">
        <f>[1]!'@CTA[8-2-3-3-1-3131,F,3,#6]'</f>
        <v>0</v>
      </c>
      <c r="J170" s="75">
        <f>[1]!'@CTA[8-2-1-3-1-3131,F,3,#6]'+[1]!'@CTA[8-2-3-3-1-3131,F,3,#6]'</f>
        <v>960</v>
      </c>
      <c r="K170" s="76">
        <f>[1]!'@CTA[8-2-4-3-1-3131,J,3,#6]'</f>
        <v>182.39000000000001</v>
      </c>
      <c r="L170" s="76">
        <f>[1]!'@CTA[8-2-5-3-1-3131,J,3,#6]'</f>
        <v>182.39000000000001</v>
      </c>
      <c r="M170" s="76">
        <f>[1]!'@CTA[8-2-6-3-1-3131,J,3,#6]'</f>
        <v>182.39000000000001</v>
      </c>
      <c r="N170" s="74">
        <f>[1]!'@CTA[8-2-7-3-1-3131,F,3,#6]'</f>
        <v>182.39000000000036</v>
      </c>
      <c r="O170" s="66">
        <f t="shared" si="10"/>
        <v>777.61</v>
      </c>
    </row>
    <row r="171" spans="1:15" ht="108" x14ac:dyDescent="0.2">
      <c r="A171" s="67" t="s">
        <v>282</v>
      </c>
      <c r="B171" s="61" t="s">
        <v>152</v>
      </c>
      <c r="C171" s="61" t="s">
        <v>149</v>
      </c>
      <c r="D171" s="62" t="s">
        <v>283</v>
      </c>
      <c r="E171" s="71" t="s">
        <v>177</v>
      </c>
      <c r="F171" s="72">
        <v>3141</v>
      </c>
      <c r="G171" s="73" t="s">
        <v>206</v>
      </c>
      <c r="H171" s="74">
        <f>[1]!'@CTA[8-2-1-3-1-3141,F,3,#6]'</f>
        <v>2940</v>
      </c>
      <c r="I171" s="74">
        <f>[1]!'@CTA[8-2-3-3-1-3141,F,3,#6]'</f>
        <v>466.95</v>
      </c>
      <c r="J171" s="75">
        <f>[1]!'@CTA[8-2-1-3-1-3141,F,3,#6]'+[1]!'@CTA[8-2-3-3-1-3141,F,3,#6]'</f>
        <v>3406.95</v>
      </c>
      <c r="K171" s="76">
        <f>[1]!'@CTA[8-2-4-3-1-3141,J,3,#6]'</f>
        <v>1091.02</v>
      </c>
      <c r="L171" s="76">
        <f>[1]!'@CTA[8-2-5-3-1-3141,J,3,#6]'</f>
        <v>1091.02</v>
      </c>
      <c r="M171" s="76">
        <f>[1]!'@CTA[8-2-6-3-1-3141,J,3,#6]'</f>
        <v>1091.02</v>
      </c>
      <c r="N171" s="74">
        <f>[1]!'@CTA[8-2-7-3-1-3141,F,3,#6]'</f>
        <v>950.68</v>
      </c>
      <c r="O171" s="66">
        <f t="shared" si="10"/>
        <v>2315.9299999999998</v>
      </c>
    </row>
    <row r="172" spans="1:15" ht="108" x14ac:dyDescent="0.2">
      <c r="A172" s="67" t="s">
        <v>282</v>
      </c>
      <c r="B172" s="61" t="s">
        <v>152</v>
      </c>
      <c r="C172" s="61" t="s">
        <v>149</v>
      </c>
      <c r="D172" s="62" t="s">
        <v>283</v>
      </c>
      <c r="E172" s="71" t="s">
        <v>177</v>
      </c>
      <c r="F172" s="72">
        <v>3161</v>
      </c>
      <c r="G172" s="73" t="s">
        <v>207</v>
      </c>
      <c r="H172" s="74">
        <f>[1]!'@CTA[8-2-1-3-1-3161,F,3,#6]'</f>
        <v>0</v>
      </c>
      <c r="I172" s="74">
        <f>[1]!'@CTA[8-2-3-3-1-3161,F,3,#6]'</f>
        <v>0</v>
      </c>
      <c r="J172" s="75">
        <f>[1]!'@CTA[8-2-1-3-1-3161,F,3,#6]'+[1]!'@CTA[8-2-3-3-1-3161,F,3,#6]'</f>
        <v>0</v>
      </c>
      <c r="K172" s="76">
        <f>[1]!'@CTA[8-2-4-3-1-3161,J,3,#6]'</f>
        <v>0</v>
      </c>
      <c r="L172" s="76">
        <f>[1]!'@CTA[8-2-5-3-1-3161,J,3,#6]'</f>
        <v>0</v>
      </c>
      <c r="M172" s="76">
        <f>[1]!'@CTA[8-2-6-3-1-3161,J,3,#6]'</f>
        <v>0</v>
      </c>
      <c r="N172" s="74">
        <f>[1]!'@CTA[8-2-7-3-1-3161,F,3,#6]'</f>
        <v>0</v>
      </c>
      <c r="O172" s="66">
        <f t="shared" si="10"/>
        <v>0</v>
      </c>
    </row>
    <row r="173" spans="1:15" ht="108" x14ac:dyDescent="0.2">
      <c r="A173" s="67" t="s">
        <v>282</v>
      </c>
      <c r="B173" s="61" t="s">
        <v>152</v>
      </c>
      <c r="C173" s="61" t="s">
        <v>149</v>
      </c>
      <c r="D173" s="62" t="s">
        <v>283</v>
      </c>
      <c r="E173" s="71" t="s">
        <v>177</v>
      </c>
      <c r="F173" s="72">
        <v>3171</v>
      </c>
      <c r="G173" s="73" t="s">
        <v>208</v>
      </c>
      <c r="H173" s="74">
        <f>[1]!'@CTA[8-2-1-3-1-3171,F,3,#6]'</f>
        <v>3961</v>
      </c>
      <c r="I173" s="74">
        <f>[1]!'@CTA[8-2-3-3-1-3171,F,3,#6]'</f>
        <v>0</v>
      </c>
      <c r="J173" s="75">
        <f>[1]!'@CTA[8-2-1-3-1-3171,F,3,#6]'+[1]!'@CTA[8-2-3-3-1-3171,F,3,#6]'</f>
        <v>3961</v>
      </c>
      <c r="K173" s="76">
        <f>[1]!'@CTA[8-2-4-3-1-3171,J,3,#6]'</f>
        <v>0</v>
      </c>
      <c r="L173" s="76">
        <f>[1]!'@CTA[8-2-5-3-1-3171,J,3,#6]'</f>
        <v>0</v>
      </c>
      <c r="M173" s="76">
        <f>[1]!'@CTA[8-2-6-3-1-3171,J,3,#6]'</f>
        <v>0</v>
      </c>
      <c r="N173" s="74">
        <f>[1]!'@CTA[8-2-7-3-1-3171,F,3,#6]'</f>
        <v>1.8189894035458565E-12</v>
      </c>
      <c r="O173" s="66">
        <f t="shared" si="10"/>
        <v>3961</v>
      </c>
    </row>
    <row r="174" spans="1:15" ht="108" x14ac:dyDescent="0.2">
      <c r="A174" s="67" t="s">
        <v>282</v>
      </c>
      <c r="B174" s="61" t="s">
        <v>152</v>
      </c>
      <c r="C174" s="61" t="s">
        <v>149</v>
      </c>
      <c r="D174" s="62" t="s">
        <v>283</v>
      </c>
      <c r="E174" s="71" t="s">
        <v>177</v>
      </c>
      <c r="F174" s="72">
        <v>3181</v>
      </c>
      <c r="G174" s="73" t="s">
        <v>209</v>
      </c>
      <c r="H174" s="74">
        <f>[1]!'@CTA[8-2-1-3-1-3181,F,3,#6]'</f>
        <v>0</v>
      </c>
      <c r="I174" s="74">
        <f>[1]!'@CTA[8-2-3-3-1-3181,F,3,#6]'</f>
        <v>0</v>
      </c>
      <c r="J174" s="75">
        <f>[1]!'@CTA[8-2-1-3-1-3181,F,3,#6]'+[1]!'@CTA[8-2-3-3-1-3181,F,3,#6]'</f>
        <v>0</v>
      </c>
      <c r="K174" s="76">
        <f>[1]!'@CTA[8-2-4-3-1-3181,J,3,#6]'</f>
        <v>0</v>
      </c>
      <c r="L174" s="76">
        <f>[1]!'@CTA[8-2-5-3-1-3181,J,3,#6]'</f>
        <v>0</v>
      </c>
      <c r="M174" s="76">
        <f>[1]!'@CTA[8-2-6-3-1-3181,J,3,#6]'</f>
        <v>0</v>
      </c>
      <c r="N174" s="74">
        <f>[1]!'@CTA[8-2-7-3-1-3181,F,3,#6]'</f>
        <v>0</v>
      </c>
      <c r="O174" s="66">
        <f t="shared" si="10"/>
        <v>0</v>
      </c>
    </row>
    <row r="175" spans="1:15" ht="108" x14ac:dyDescent="0.2">
      <c r="A175" s="67" t="s">
        <v>282</v>
      </c>
      <c r="B175" s="61" t="s">
        <v>152</v>
      </c>
      <c r="C175" s="61" t="s">
        <v>149</v>
      </c>
      <c r="D175" s="62" t="s">
        <v>283</v>
      </c>
      <c r="E175" s="71" t="s">
        <v>177</v>
      </c>
      <c r="F175" s="72">
        <v>3182</v>
      </c>
      <c r="G175" s="73" t="s">
        <v>210</v>
      </c>
      <c r="H175" s="74">
        <f>[1]!'@CTA[8-2-1-3-1-3182,F,3,#6]'</f>
        <v>0</v>
      </c>
      <c r="I175" s="74">
        <f>[1]!'@CTA[8-2-3-3-1-3182,F,3,#6]'</f>
        <v>0</v>
      </c>
      <c r="J175" s="75">
        <f>[1]!'@CTA[8-2-1-3-1-3182,F,3,#6]'+[1]!'@CTA[8-2-3-3-1-3182,F,3,#6]'</f>
        <v>0</v>
      </c>
      <c r="K175" s="76">
        <f>[1]!'@CTA[8-2-4-3-1-3182,J,3,#6]'</f>
        <v>0</v>
      </c>
      <c r="L175" s="76">
        <f>[1]!'@CTA[8-2-5-3-1-3182,J,3,#6]'</f>
        <v>0</v>
      </c>
      <c r="M175" s="76">
        <f>[1]!'@CTA[8-2-6-3-1-3182,J,3,#6]'</f>
        <v>0</v>
      </c>
      <c r="N175" s="74">
        <f>[1]!'@CTA[8-2-7-3-1-3182,F,3,#6]'</f>
        <v>0</v>
      </c>
      <c r="O175" s="66">
        <f t="shared" si="10"/>
        <v>0</v>
      </c>
    </row>
    <row r="176" spans="1:15" ht="108" x14ac:dyDescent="0.2">
      <c r="A176" s="67" t="s">
        <v>282</v>
      </c>
      <c r="B176" s="61" t="s">
        <v>152</v>
      </c>
      <c r="C176" s="61" t="s">
        <v>149</v>
      </c>
      <c r="D176" s="62" t="s">
        <v>283</v>
      </c>
      <c r="E176" s="71" t="s">
        <v>211</v>
      </c>
      <c r="F176" s="72">
        <v>3211</v>
      </c>
      <c r="G176" s="73" t="s">
        <v>212</v>
      </c>
      <c r="H176" s="74">
        <f>[1]!'@CTA[8-2-1-3-2-3211,F,3,#6]'</f>
        <v>0</v>
      </c>
      <c r="I176" s="74">
        <f>[1]!'@CTA[8-2-3-3-2-3211,F,3,#6]'</f>
        <v>0</v>
      </c>
      <c r="J176" s="75">
        <f>[1]!'@CTA[8-2-1-3-2-3211,F,3,#6]'+[1]!'@CTA[8-2-3-3-2-3211,F,3,#6]'</f>
        <v>0</v>
      </c>
      <c r="K176" s="76">
        <f>[1]!'@CTA[8-2-4-3-2-3211,J,3,#6]'</f>
        <v>0</v>
      </c>
      <c r="L176" s="76">
        <f>[1]!'@CTA[8-2-5-3-2-3211,J,3,#6]'</f>
        <v>0</v>
      </c>
      <c r="M176" s="76">
        <f>[1]!'@CTA[8-2-6-3-2-3211,J,3,#6]'</f>
        <v>0</v>
      </c>
      <c r="N176" s="74">
        <f>[1]!'@CTA[8-2-7-3-2-3211,F,3,#6]'</f>
        <v>0</v>
      </c>
      <c r="O176" s="66">
        <f t="shared" si="10"/>
        <v>0</v>
      </c>
    </row>
    <row r="177" spans="1:15" ht="108" x14ac:dyDescent="0.2">
      <c r="A177" s="67" t="s">
        <v>282</v>
      </c>
      <c r="B177" s="61" t="s">
        <v>152</v>
      </c>
      <c r="C177" s="61" t="s">
        <v>149</v>
      </c>
      <c r="D177" s="62" t="s">
        <v>283</v>
      </c>
      <c r="E177" s="71" t="s">
        <v>177</v>
      </c>
      <c r="F177" s="72">
        <v>3231</v>
      </c>
      <c r="G177" s="73" t="s">
        <v>213</v>
      </c>
      <c r="H177" s="74">
        <f>[1]!'@CTA[8-2-1-3-2-3231,F,3,#6]'</f>
        <v>0</v>
      </c>
      <c r="I177" s="74">
        <f>[1]!'@CTA[8-2-3-3-2-3231,F,3,#6]'</f>
        <v>0</v>
      </c>
      <c r="J177" s="75">
        <f>[1]!'@CTA[8-2-1-3-2-3231,F,3,#6]'+[1]!'@CTA[8-2-3-3-2-3231,F,3,#6]'</f>
        <v>0</v>
      </c>
      <c r="K177" s="76">
        <f>[1]!'@CTA[8-2-4-3-2-3231,J,3,#6]'</f>
        <v>0</v>
      </c>
      <c r="L177" s="76">
        <f>[1]!'@CTA[8-2-5-3-2-3231,J,3,#6]'</f>
        <v>0</v>
      </c>
      <c r="M177" s="76">
        <f>[1]!'@CTA[8-2-6-3-2-3231,J,3,#6]'</f>
        <v>0</v>
      </c>
      <c r="N177" s="74">
        <f>[1]!'@CTA[8-2-7-3-2-3231,F,3,#6]'</f>
        <v>0</v>
      </c>
      <c r="O177" s="66">
        <f t="shared" si="10"/>
        <v>0</v>
      </c>
    </row>
    <row r="178" spans="1:15" ht="108" x14ac:dyDescent="0.2">
      <c r="A178" s="67" t="s">
        <v>282</v>
      </c>
      <c r="B178" s="61" t="s">
        <v>152</v>
      </c>
      <c r="C178" s="61" t="s">
        <v>149</v>
      </c>
      <c r="D178" s="62" t="s">
        <v>283</v>
      </c>
      <c r="E178" s="71" t="s">
        <v>177</v>
      </c>
      <c r="F178" s="72">
        <v>3261</v>
      </c>
      <c r="G178" s="73" t="s">
        <v>214</v>
      </c>
      <c r="H178" s="74">
        <f>[1]!'@CTA[8-2-1-3-2-3261,F,3,#6]'</f>
        <v>0</v>
      </c>
      <c r="I178" s="74">
        <f>[1]!'@CTA[8-2-3-3-2-3261,F,3,#6]'</f>
        <v>0</v>
      </c>
      <c r="J178" s="75">
        <f>[1]!'@CTA[8-2-1-3-2-3261,F,3,#6]'+[1]!'@CTA[8-2-3-3-2-3261,F,3,#6]'</f>
        <v>0</v>
      </c>
      <c r="K178" s="76">
        <f>[1]!'@CTA[8-2-4-3-2-3261,J,3,#6]'</f>
        <v>0</v>
      </c>
      <c r="L178" s="76">
        <f>[1]!'@CTA[8-2-5-3-2-3261,J,3,#6]'</f>
        <v>0</v>
      </c>
      <c r="M178" s="76">
        <f>[1]!'@CTA[8-2-6-3-2-3261,J,3,#6]'</f>
        <v>0</v>
      </c>
      <c r="N178" s="74">
        <f>[1]!'@CTA[8-2-7-3-2-3261,F,3,#6]'</f>
        <v>0</v>
      </c>
      <c r="O178" s="66">
        <f t="shared" si="10"/>
        <v>0</v>
      </c>
    </row>
    <row r="179" spans="1:15" ht="108" x14ac:dyDescent="0.2">
      <c r="A179" s="67" t="s">
        <v>282</v>
      </c>
      <c r="B179" s="61" t="s">
        <v>152</v>
      </c>
      <c r="C179" s="61" t="s">
        <v>149</v>
      </c>
      <c r="D179" s="62" t="s">
        <v>283</v>
      </c>
      <c r="E179" s="71" t="s">
        <v>177</v>
      </c>
      <c r="F179" s="72">
        <v>3291</v>
      </c>
      <c r="G179" s="73" t="s">
        <v>215</v>
      </c>
      <c r="H179" s="74">
        <f>[1]!'@CTA[8-2-1-3-2-3291,F,3,#6]'</f>
        <v>0</v>
      </c>
      <c r="I179" s="74">
        <f>[1]!'@CTA[8-2-3-3-2-3291,F,3,#6]'</f>
        <v>0</v>
      </c>
      <c r="J179" s="75">
        <f>[1]!'@CTA[8-2-1-3-2-3291,F,3,#6]'+[1]!'@CTA[8-2-3-3-2-3291,F,3,#6]'</f>
        <v>0</v>
      </c>
      <c r="K179" s="76">
        <f>[1]!'@CTA[8-2-4-3-2-3291,J,3,#6]'</f>
        <v>0</v>
      </c>
      <c r="L179" s="76">
        <f>[1]!'@CTA[8-2-5-3-2-3291,J,3,#6]'</f>
        <v>0</v>
      </c>
      <c r="M179" s="76">
        <f>[1]!'@CTA[8-2-6-3-2-3291,J,3,#6]'</f>
        <v>0</v>
      </c>
      <c r="N179" s="74">
        <f>[1]!'@CTA[8-2-7-3-2-3291,F,3,#6]'</f>
        <v>0</v>
      </c>
      <c r="O179" s="66">
        <f t="shared" si="10"/>
        <v>0</v>
      </c>
    </row>
    <row r="180" spans="1:15" ht="108" x14ac:dyDescent="0.2">
      <c r="A180" s="67" t="s">
        <v>282</v>
      </c>
      <c r="B180" s="61" t="s">
        <v>152</v>
      </c>
      <c r="C180" s="61" t="s">
        <v>149</v>
      </c>
      <c r="D180" s="62" t="s">
        <v>283</v>
      </c>
      <c r="E180" s="71" t="s">
        <v>177</v>
      </c>
      <c r="F180" s="72">
        <v>3311</v>
      </c>
      <c r="G180" s="73" t="s">
        <v>216</v>
      </c>
      <c r="H180" s="74">
        <f>[1]!'@CTA[8-2-1-3-3-3311,F,3,#6]'</f>
        <v>0</v>
      </c>
      <c r="I180" s="74">
        <f>[1]!'@CTA[8-2-3-3-3-3311,F,3,#6]'</f>
        <v>0</v>
      </c>
      <c r="J180" s="75">
        <f>[1]!'@CTA[8-2-1-3-3-3311,F,3,#6]'+[1]!'@CTA[8-2-3-3-3-3311,F,3,#6]'</f>
        <v>0</v>
      </c>
      <c r="K180" s="76">
        <f>[1]!'@CTA[8-2-4-3-3-3311,J,3,#6]'</f>
        <v>0</v>
      </c>
      <c r="L180" s="76">
        <f>[1]!'@CTA[8-2-5-3-3-3311,J,3,#6]'</f>
        <v>0</v>
      </c>
      <c r="M180" s="76">
        <f>[1]!'@CTA[8-2-6-3-3-3311,J,3,#6]'</f>
        <v>0</v>
      </c>
      <c r="N180" s="74">
        <f>[1]!'@CTA[8-2-7-3-3-3311,F,3,#6]'</f>
        <v>0</v>
      </c>
      <c r="O180" s="66">
        <f t="shared" si="10"/>
        <v>0</v>
      </c>
    </row>
    <row r="181" spans="1:15" ht="108" x14ac:dyDescent="0.2">
      <c r="A181" s="67" t="s">
        <v>282</v>
      </c>
      <c r="B181" s="61" t="s">
        <v>152</v>
      </c>
      <c r="C181" s="61" t="s">
        <v>149</v>
      </c>
      <c r="D181" s="62" t="s">
        <v>283</v>
      </c>
      <c r="E181" s="71" t="s">
        <v>177</v>
      </c>
      <c r="F181" s="72">
        <v>3331</v>
      </c>
      <c r="G181" s="73" t="s">
        <v>217</v>
      </c>
      <c r="H181" s="74">
        <f>[1]!'@CTA[8-2-1-3-3-3331,F,3,#6]'</f>
        <v>0</v>
      </c>
      <c r="I181" s="74">
        <f>[1]!'@CTA[8-2-3-3-3-3331,F,3,#6]'</f>
        <v>0</v>
      </c>
      <c r="J181" s="75">
        <f>[1]!'@CTA[8-2-1-3-3-3331,F,3,#6]'+[1]!'@CTA[8-2-3-3-3-3331,F,3,#6]'</f>
        <v>0</v>
      </c>
      <c r="K181" s="76">
        <f>[1]!'@CTA[8-2-4-3-3-3331,J,3,#6]'</f>
        <v>0</v>
      </c>
      <c r="L181" s="76">
        <f>[1]!'@CTA[8-2-5-3-3-3331,J,3,#6]'</f>
        <v>0</v>
      </c>
      <c r="M181" s="76">
        <f>[1]!'@CTA[8-2-6-3-3-3331,J,3,#6]'</f>
        <v>0</v>
      </c>
      <c r="N181" s="74">
        <f>[1]!'@CTA[8-2-7-3-3-3331,F,3,#6]'</f>
        <v>0</v>
      </c>
      <c r="O181" s="66">
        <f t="shared" si="10"/>
        <v>0</v>
      </c>
    </row>
    <row r="182" spans="1:15" ht="108" x14ac:dyDescent="0.2">
      <c r="A182" s="67" t="s">
        <v>282</v>
      </c>
      <c r="B182" s="61" t="s">
        <v>152</v>
      </c>
      <c r="C182" s="61" t="s">
        <v>149</v>
      </c>
      <c r="D182" s="62" t="s">
        <v>283</v>
      </c>
      <c r="E182" s="71" t="s">
        <v>177</v>
      </c>
      <c r="F182" s="72">
        <v>3332</v>
      </c>
      <c r="G182" s="73" t="s">
        <v>218</v>
      </c>
      <c r="H182" s="74">
        <f>[1]!'@CTA[8-2-1-3-3-3332,F,3,#6]'</f>
        <v>0</v>
      </c>
      <c r="I182" s="74">
        <f>[1]!'@CTA[8-2-3-3-3-3332,F,3,#6]'</f>
        <v>0</v>
      </c>
      <c r="J182" s="75">
        <f>[1]!'@CTA[8-2-1-3-3-3332,F,3,#6]'+[1]!'@CTA[8-2-3-3-3-3332,F,3,#6]'</f>
        <v>0</v>
      </c>
      <c r="K182" s="76">
        <f>[1]!'@CTA[8-2-4-3-3-3332,J,3,#6]'</f>
        <v>0</v>
      </c>
      <c r="L182" s="76">
        <f>[1]!'@CTA[8-2-5-3-3-3332,J,3,#6]'</f>
        <v>0</v>
      </c>
      <c r="M182" s="76">
        <f>[1]!'@CTA[8-2-6-3-3-3332,J,3,#6]'</f>
        <v>0</v>
      </c>
      <c r="N182" s="74">
        <f>[1]!'@CTA[8-2-7-3-3-3332,F,3,#6]'</f>
        <v>0</v>
      </c>
      <c r="O182" s="66">
        <f t="shared" si="10"/>
        <v>0</v>
      </c>
    </row>
    <row r="183" spans="1:15" ht="108" x14ac:dyDescent="0.2">
      <c r="A183" s="67" t="s">
        <v>282</v>
      </c>
      <c r="B183" s="61" t="s">
        <v>152</v>
      </c>
      <c r="C183" s="61" t="s">
        <v>149</v>
      </c>
      <c r="D183" s="62" t="s">
        <v>283</v>
      </c>
      <c r="E183" s="71" t="s">
        <v>177</v>
      </c>
      <c r="F183" s="72">
        <v>3341</v>
      </c>
      <c r="G183" s="73" t="s">
        <v>219</v>
      </c>
      <c r="H183" s="74">
        <f>[1]!'@CTA[8-2-1-3-3-3341,F,3,#6]'</f>
        <v>120000</v>
      </c>
      <c r="I183" s="74">
        <f>[1]!'@CTA[8-2-3-3-3-3341,F,3,#6]'</f>
        <v>0</v>
      </c>
      <c r="J183" s="75">
        <f>[1]!'@CTA[8-2-1-3-3-3341,F,3,#6]'+[1]!'@CTA[8-2-3-3-3-3341,F,3,#6]'</f>
        <v>120000</v>
      </c>
      <c r="K183" s="76">
        <f>[1]!'@CTA[8-2-4-3-3-3341,J,3,#6]'</f>
        <v>16297.6</v>
      </c>
      <c r="L183" s="76">
        <f>[1]!'@CTA[8-2-5-3-3-3341,J,3,#6]'</f>
        <v>16297.6</v>
      </c>
      <c r="M183" s="76">
        <f>[1]!'@CTA[8-2-6-3-3-3341,J,3,#6]'</f>
        <v>16297.6</v>
      </c>
      <c r="N183" s="74">
        <f>[1]!'@CTA[8-2-7-3-3-3341,F,3,#6]'</f>
        <v>16297.600000000008</v>
      </c>
      <c r="O183" s="66">
        <f t="shared" si="10"/>
        <v>103702.39999999999</v>
      </c>
    </row>
    <row r="184" spans="1:15" ht="108" x14ac:dyDescent="0.2">
      <c r="A184" s="67" t="s">
        <v>282</v>
      </c>
      <c r="B184" s="61" t="s">
        <v>152</v>
      </c>
      <c r="C184" s="61" t="s">
        <v>149</v>
      </c>
      <c r="D184" s="62" t="s">
        <v>283</v>
      </c>
      <c r="E184" s="71" t="s">
        <v>177</v>
      </c>
      <c r="F184" s="72">
        <v>3381</v>
      </c>
      <c r="G184" s="73" t="s">
        <v>220</v>
      </c>
      <c r="H184" s="74">
        <f>[1]!'@CTA[8-2-1-3-3-3381,F,3,#6]'</f>
        <v>0</v>
      </c>
      <c r="I184" s="74">
        <f>[1]!'@CTA[8-2-3-3-3-3381,F,3,#6]'</f>
        <v>0</v>
      </c>
      <c r="J184" s="75">
        <f>[1]!'@CTA[8-2-1-3-3-3381,F,3,#6]'+[1]!'@CTA[8-2-3-3-3-3381,F,3,#6]'</f>
        <v>0</v>
      </c>
      <c r="K184" s="76">
        <f>[1]!'@CTA[8-2-4-3-3-3381,J,3,#6]'</f>
        <v>0</v>
      </c>
      <c r="L184" s="76">
        <f>[1]!'@CTA[8-2-5-3-3-3381,J,3,#6]'</f>
        <v>0</v>
      </c>
      <c r="M184" s="76">
        <f>[1]!'@CTA[8-2-6-3-3-3381,J,3,#6]'</f>
        <v>0</v>
      </c>
      <c r="N184" s="74">
        <f>[1]!'@CTA[8-2-7-3-3-3381,F,3,#6]'</f>
        <v>0</v>
      </c>
      <c r="O184" s="66">
        <f t="shared" si="10"/>
        <v>0</v>
      </c>
    </row>
    <row r="185" spans="1:15" ht="108" x14ac:dyDescent="0.2">
      <c r="A185" s="67" t="s">
        <v>282</v>
      </c>
      <c r="B185" s="61" t="s">
        <v>152</v>
      </c>
      <c r="C185" s="61" t="s">
        <v>149</v>
      </c>
      <c r="D185" s="62" t="s">
        <v>283</v>
      </c>
      <c r="E185" s="71" t="s">
        <v>177</v>
      </c>
      <c r="F185" s="72">
        <v>3391</v>
      </c>
      <c r="G185" s="73" t="s">
        <v>221</v>
      </c>
      <c r="H185" s="74">
        <f>[1]!'@CTA[8-2-1-3-3-3391,F,3,#6]'</f>
        <v>0</v>
      </c>
      <c r="I185" s="74">
        <f>[1]!'@CTA[8-2-3-3-3-3391,F,3,#6]'</f>
        <v>0</v>
      </c>
      <c r="J185" s="75">
        <f>[1]!'@CTA[8-2-1-3-3-3391,F,3,#6]'+[1]!'@CTA[8-2-3-3-3-3391,F,3,#6]'</f>
        <v>0</v>
      </c>
      <c r="K185" s="76">
        <f>[1]!'@CTA[8-2-4-3-3-3391,J,3,#6]'</f>
        <v>0</v>
      </c>
      <c r="L185" s="76">
        <f>[1]!'@CTA[8-2-5-3-3-3391,J,3,#6]'</f>
        <v>0</v>
      </c>
      <c r="M185" s="76">
        <f>[1]!'@CTA[8-2-6-3-3-3391,J,3,#6]'</f>
        <v>0</v>
      </c>
      <c r="N185" s="74">
        <f>[1]!'@CTA[8-2-7-3-3-3391,F,3,#6]'</f>
        <v>0</v>
      </c>
      <c r="O185" s="66">
        <f t="shared" si="10"/>
        <v>0</v>
      </c>
    </row>
    <row r="186" spans="1:15" ht="108" x14ac:dyDescent="0.2">
      <c r="A186" s="67" t="s">
        <v>282</v>
      </c>
      <c r="B186" s="61" t="s">
        <v>152</v>
      </c>
      <c r="C186" s="61" t="s">
        <v>149</v>
      </c>
      <c r="D186" s="62" t="s">
        <v>283</v>
      </c>
      <c r="E186" s="71" t="s">
        <v>177</v>
      </c>
      <c r="F186" s="72">
        <v>3411</v>
      </c>
      <c r="G186" s="73" t="s">
        <v>222</v>
      </c>
      <c r="H186" s="74">
        <f>[1]!'@CTA[8-2-1-3-4-3411,F,3,#6]'</f>
        <v>0</v>
      </c>
      <c r="I186" s="74">
        <f>[1]!'@CTA[8-2-3-3-4-3411,F,3,#6]'</f>
        <v>0</v>
      </c>
      <c r="J186" s="75">
        <f>[1]!'@CTA[8-2-1-3-4-3411,F,3,#6]'+[1]!'@CTA[8-2-3-3-4-3411,F,3,#6]'</f>
        <v>0</v>
      </c>
      <c r="K186" s="76">
        <f>[1]!'@CTA[8-2-4-3-4-3411,J,3,#6]'</f>
        <v>0</v>
      </c>
      <c r="L186" s="76">
        <f>[1]!'@CTA[8-2-5-3-4-3411,J,3,#6]'</f>
        <v>0</v>
      </c>
      <c r="M186" s="76">
        <f>[1]!'@CTA[8-2-6-3-4-3411,J,3,#6]'</f>
        <v>0</v>
      </c>
      <c r="N186" s="74">
        <f>[1]!'@CTA[8-2-7-3-4-3411,F,3,#6]'</f>
        <v>0</v>
      </c>
      <c r="O186" s="66">
        <f t="shared" si="10"/>
        <v>0</v>
      </c>
    </row>
    <row r="187" spans="1:15" ht="108" x14ac:dyDescent="0.2">
      <c r="A187" s="67" t="s">
        <v>282</v>
      </c>
      <c r="B187" s="61" t="s">
        <v>152</v>
      </c>
      <c r="C187" s="61" t="s">
        <v>149</v>
      </c>
      <c r="D187" s="62" t="s">
        <v>283</v>
      </c>
      <c r="E187" s="71" t="s">
        <v>177</v>
      </c>
      <c r="F187" s="72">
        <v>3431</v>
      </c>
      <c r="G187" s="73" t="s">
        <v>223</v>
      </c>
      <c r="H187" s="74">
        <f>[1]!'@CTA[8-2-1-3-4-3431,F,3,#6]'</f>
        <v>0</v>
      </c>
      <c r="I187" s="74">
        <f>[1]!'@CTA[8-2-3-3-4-3431,F,3,#6]'</f>
        <v>0</v>
      </c>
      <c r="J187" s="75">
        <f>[1]!'@CTA[8-2-1-3-4-3431,F,3,#6]'+[1]!'@CTA[8-2-3-3-4-3431,F,3,#6]'</f>
        <v>0</v>
      </c>
      <c r="K187" s="76">
        <f>[1]!'@CTA[8-2-4-3-4-3431,J,3,#6]'</f>
        <v>0</v>
      </c>
      <c r="L187" s="76">
        <f>[1]!'@CTA[8-2-5-3-4-3431,J,3,#6]'</f>
        <v>0</v>
      </c>
      <c r="M187" s="76">
        <f>[1]!'@CTA[8-2-6-3-4-3431,J,3,#6]'</f>
        <v>0</v>
      </c>
      <c r="N187" s="74">
        <f>[1]!'@CTA[8-2-7-3-4-3431,F,3,#6]'</f>
        <v>0</v>
      </c>
      <c r="O187" s="66">
        <f t="shared" si="10"/>
        <v>0</v>
      </c>
    </row>
    <row r="188" spans="1:15" ht="108" x14ac:dyDescent="0.2">
      <c r="A188" s="67" t="s">
        <v>282</v>
      </c>
      <c r="B188" s="61" t="s">
        <v>152</v>
      </c>
      <c r="C188" s="61" t="s">
        <v>149</v>
      </c>
      <c r="D188" s="62" t="s">
        <v>283</v>
      </c>
      <c r="E188" s="71" t="s">
        <v>177</v>
      </c>
      <c r="F188" s="72">
        <v>3451</v>
      </c>
      <c r="G188" s="73" t="s">
        <v>224</v>
      </c>
      <c r="H188" s="74">
        <f>[1]!'@CTA[8-2-1-3-4-3451,F,3,#6]'</f>
        <v>1746</v>
      </c>
      <c r="I188" s="74">
        <f>[1]!'@CTA[8-2-3-3-4-3451,F,3,#6]'</f>
        <v>0</v>
      </c>
      <c r="J188" s="75">
        <f>[1]!'@CTA[8-2-1-3-4-3451,F,3,#6]'+[1]!'@CTA[8-2-3-3-4-3451,F,3,#6]'</f>
        <v>1746</v>
      </c>
      <c r="K188" s="76">
        <f>[1]!'@CTA[8-2-4-3-4-3451,J,3,#6]'</f>
        <v>451.29</v>
      </c>
      <c r="L188" s="76">
        <f>[1]!'@CTA[8-2-5-3-4-3451,J,3,#6]'</f>
        <v>451.29</v>
      </c>
      <c r="M188" s="76">
        <f>[1]!'@CTA[8-2-6-3-4-3451,J,3,#6]'</f>
        <v>451.29</v>
      </c>
      <c r="N188" s="74">
        <f>[1]!'@CTA[8-2-7-3-4-3451,F,3,#6]'</f>
        <v>451.29</v>
      </c>
      <c r="O188" s="66">
        <f t="shared" si="10"/>
        <v>1294.71</v>
      </c>
    </row>
    <row r="189" spans="1:15" ht="108" x14ac:dyDescent="0.2">
      <c r="A189" s="67" t="s">
        <v>282</v>
      </c>
      <c r="B189" s="61" t="s">
        <v>152</v>
      </c>
      <c r="C189" s="61" t="s">
        <v>149</v>
      </c>
      <c r="D189" s="62" t="s">
        <v>283</v>
      </c>
      <c r="E189" s="71" t="s">
        <v>177</v>
      </c>
      <c r="F189" s="72">
        <v>3471</v>
      </c>
      <c r="G189" s="73" t="s">
        <v>225</v>
      </c>
      <c r="H189" s="74">
        <f>[1]!'@CTA[8-2-1-3-4-3471,F,3,#6]'</f>
        <v>400</v>
      </c>
      <c r="I189" s="74">
        <f>[1]!'@CTA[8-2-3-3-4-3471,F,3,#6]'</f>
        <v>0</v>
      </c>
      <c r="J189" s="75">
        <f>[1]!'@CTA[8-2-1-3-4-3471,F,3,#6]'+[1]!'@CTA[8-2-3-3-4-3471,F,3,#6]'</f>
        <v>400</v>
      </c>
      <c r="K189" s="76">
        <f>[1]!'@CTA[8-2-4-3-4-3471,J,3,#6]'</f>
        <v>0</v>
      </c>
      <c r="L189" s="76">
        <f>[1]!'@CTA[8-2-5-3-4-3471,J,3,#6]'</f>
        <v>0</v>
      </c>
      <c r="M189" s="76">
        <f>[1]!'@CTA[8-2-6-3-4-3471,J,3,#6]'</f>
        <v>0</v>
      </c>
      <c r="N189" s="74">
        <f>[1]!'@CTA[8-2-7-3-4-3471,F,3,#6]'</f>
        <v>0</v>
      </c>
      <c r="O189" s="66">
        <f t="shared" si="10"/>
        <v>400</v>
      </c>
    </row>
    <row r="190" spans="1:15" ht="108" x14ac:dyDescent="0.2">
      <c r="A190" s="67" t="s">
        <v>282</v>
      </c>
      <c r="B190" s="61" t="s">
        <v>152</v>
      </c>
      <c r="C190" s="61" t="s">
        <v>149</v>
      </c>
      <c r="D190" s="62" t="s">
        <v>283</v>
      </c>
      <c r="E190" s="71" t="s">
        <v>177</v>
      </c>
      <c r="F190" s="72">
        <v>3491</v>
      </c>
      <c r="G190" s="73" t="s">
        <v>226</v>
      </c>
      <c r="H190" s="74">
        <f>[1]!'@CTA[8-2-1-3-4-3491,F,3,#6]'</f>
        <v>2196</v>
      </c>
      <c r="I190" s="74">
        <f>[1]!'@CTA[8-2-3-3-4-3491,F,3,#6]'</f>
        <v>0</v>
      </c>
      <c r="J190" s="75">
        <f>[1]!'@CTA[8-2-1-3-4-3491,F,3,#6]'+[1]!'@CTA[8-2-3-3-4-3491,F,3,#6]'</f>
        <v>2196</v>
      </c>
      <c r="K190" s="76">
        <f>[1]!'@CTA[8-2-4-3-4-3491,J,3,#6]'</f>
        <v>568.73</v>
      </c>
      <c r="L190" s="76">
        <f>[1]!'@CTA[8-2-5-3-4-3491,J,3,#6]'</f>
        <v>568.73</v>
      </c>
      <c r="M190" s="76">
        <f>[1]!'@CTA[8-2-6-3-4-3491,J,3,#6]'</f>
        <v>568.73</v>
      </c>
      <c r="N190" s="74">
        <f>[1]!'@CTA[8-2-7-3-4-3491,F,3,#6]'</f>
        <v>568.72999999999865</v>
      </c>
      <c r="O190" s="66">
        <f t="shared" si="10"/>
        <v>1627.27</v>
      </c>
    </row>
    <row r="191" spans="1:15" ht="108" x14ac:dyDescent="0.2">
      <c r="A191" s="67" t="s">
        <v>282</v>
      </c>
      <c r="B191" s="61" t="s">
        <v>152</v>
      </c>
      <c r="C191" s="61" t="s">
        <v>149</v>
      </c>
      <c r="D191" s="62" t="s">
        <v>283</v>
      </c>
      <c r="E191" s="71" t="s">
        <v>177</v>
      </c>
      <c r="F191" s="72">
        <v>3511</v>
      </c>
      <c r="G191" s="73" t="s">
        <v>227</v>
      </c>
      <c r="H191" s="74">
        <f>[1]!'@CTA[8-2-1-3-5-3511,F,3,#6]'</f>
        <v>0</v>
      </c>
      <c r="I191" s="74">
        <f>[1]!'@CTA[8-2-3-3-5-3511,F,3,#6]'</f>
        <v>0</v>
      </c>
      <c r="J191" s="75">
        <f>[1]!'@CTA[8-2-1-3-5-3511,F,3,#6]'+[1]!'@CTA[8-2-3-3-5-3511,F,3,#6]'</f>
        <v>0</v>
      </c>
      <c r="K191" s="76">
        <f>[1]!'@CTA[8-2-4-3-5-3511,J,3,#6]'</f>
        <v>0</v>
      </c>
      <c r="L191" s="76">
        <f>[1]!'@CTA[8-2-5-3-5-3511,J,3,#6]'</f>
        <v>0</v>
      </c>
      <c r="M191" s="76">
        <f>[1]!'@CTA[8-2-6-3-5-3511,J,3,#6]'</f>
        <v>0</v>
      </c>
      <c r="N191" s="74">
        <f>[1]!'@CTA[8-2-7-3-5-3511,F,3,#6]'</f>
        <v>0</v>
      </c>
      <c r="O191" s="66">
        <f t="shared" si="10"/>
        <v>0</v>
      </c>
    </row>
    <row r="192" spans="1:15" ht="108" x14ac:dyDescent="0.2">
      <c r="A192" s="67" t="s">
        <v>282</v>
      </c>
      <c r="B192" s="61" t="s">
        <v>152</v>
      </c>
      <c r="C192" s="61" t="s">
        <v>149</v>
      </c>
      <c r="D192" s="62" t="s">
        <v>283</v>
      </c>
      <c r="E192" s="71" t="s">
        <v>177</v>
      </c>
      <c r="F192" s="72">
        <v>3521</v>
      </c>
      <c r="G192" s="73" t="s">
        <v>228</v>
      </c>
      <c r="H192" s="74">
        <f>[1]!'@CTA[8-2-1-3-5-3521,F,3,#6]'</f>
        <v>0</v>
      </c>
      <c r="I192" s="74">
        <f>[1]!'@CTA[8-2-3-3-5-3521,F,3,#6]'</f>
        <v>0</v>
      </c>
      <c r="J192" s="75">
        <f>[1]!'@CTA[8-2-1-3-5-3521,F,3,#6]'+[1]!'@CTA[8-2-3-3-5-3521,F,3,#6]'</f>
        <v>0</v>
      </c>
      <c r="K192" s="76">
        <f>[1]!'@CTA[8-2-4-3-5-3521,J,3,#6]'</f>
        <v>0</v>
      </c>
      <c r="L192" s="76">
        <f>[1]!'@CTA[8-2-5-3-5-3521,J,3,#6]'</f>
        <v>0</v>
      </c>
      <c r="M192" s="76">
        <f>[1]!'@CTA[8-2-6-3-5-3521,J,3,#6]'</f>
        <v>0</v>
      </c>
      <c r="N192" s="74">
        <f>[1]!'@CTA[8-2-7-3-5-3521,F,3,#6]'</f>
        <v>0</v>
      </c>
      <c r="O192" s="66">
        <f t="shared" si="10"/>
        <v>0</v>
      </c>
    </row>
    <row r="193" spans="1:15" ht="108" x14ac:dyDescent="0.2">
      <c r="A193" s="67" t="s">
        <v>282</v>
      </c>
      <c r="B193" s="61" t="s">
        <v>152</v>
      </c>
      <c r="C193" s="61" t="s">
        <v>149</v>
      </c>
      <c r="D193" s="62" t="s">
        <v>283</v>
      </c>
      <c r="E193" s="71" t="s">
        <v>177</v>
      </c>
      <c r="F193" s="72">
        <v>3531</v>
      </c>
      <c r="G193" s="73" t="s">
        <v>229</v>
      </c>
      <c r="H193" s="74">
        <f>[1]!'@CTA[8-2-1-3-5-3531,F,3,#6]'</f>
        <v>0</v>
      </c>
      <c r="I193" s="74">
        <f>[1]!'@CTA[8-2-3-3-5-3531,F,3,#6]'</f>
        <v>0</v>
      </c>
      <c r="J193" s="75">
        <f>[1]!'@CTA[8-2-1-3-5-3531,F,3,#6]'+[1]!'@CTA[8-2-3-3-5-3531,F,3,#6]'</f>
        <v>0</v>
      </c>
      <c r="K193" s="76">
        <f>[1]!'@CTA[8-2-4-3-5-3531,J,3,#6]'</f>
        <v>0</v>
      </c>
      <c r="L193" s="76">
        <f>[1]!'@CTA[8-2-5-3-5-3531,J,3,#6]'</f>
        <v>0</v>
      </c>
      <c r="M193" s="76">
        <f>[1]!'@CTA[8-2-6-3-5-3531,J,3,#6]'</f>
        <v>0</v>
      </c>
      <c r="N193" s="74">
        <f>[1]!'@CTA[8-2-7-3-5-3531,F,3,#6]'</f>
        <v>0</v>
      </c>
      <c r="O193" s="66">
        <f t="shared" si="10"/>
        <v>0</v>
      </c>
    </row>
    <row r="194" spans="1:15" ht="108" x14ac:dyDescent="0.2">
      <c r="A194" s="67" t="s">
        <v>282</v>
      </c>
      <c r="B194" s="61" t="s">
        <v>152</v>
      </c>
      <c r="C194" s="61" t="s">
        <v>149</v>
      </c>
      <c r="D194" s="62" t="s">
        <v>283</v>
      </c>
      <c r="E194" s="71" t="s">
        <v>177</v>
      </c>
      <c r="F194" s="72">
        <v>3551</v>
      </c>
      <c r="G194" s="73" t="s">
        <v>230</v>
      </c>
      <c r="H194" s="74">
        <f>[1]!'@CTA[8-2-1-3-5-3551,F,3,#6]'</f>
        <v>0</v>
      </c>
      <c r="I194" s="74">
        <f>[1]!'@CTA[8-2-3-3-5-3551,F,3,#6]'</f>
        <v>0</v>
      </c>
      <c r="J194" s="75">
        <f>[1]!'@CTA[8-2-1-3-5-3551,F,3,#6]'+[1]!'@CTA[8-2-3-3-5-3551,F,3,#6]'</f>
        <v>0</v>
      </c>
      <c r="K194" s="76">
        <f>[1]!'@CTA[8-2-4-3-5-3551,J,3,#6]'</f>
        <v>0</v>
      </c>
      <c r="L194" s="76">
        <f>[1]!'@CTA[8-2-5-3-5-3551,J,3,#6]'</f>
        <v>0</v>
      </c>
      <c r="M194" s="76">
        <f>[1]!'@CTA[8-2-6-3-5-3551,J,3,#6]'</f>
        <v>0</v>
      </c>
      <c r="N194" s="74">
        <f>[1]!'@CTA[8-2-7-3-5-3551,F,3,#6]'</f>
        <v>0</v>
      </c>
      <c r="O194" s="66">
        <f t="shared" si="10"/>
        <v>0</v>
      </c>
    </row>
    <row r="195" spans="1:15" ht="108" x14ac:dyDescent="0.2">
      <c r="A195" s="67" t="s">
        <v>282</v>
      </c>
      <c r="B195" s="61" t="s">
        <v>152</v>
      </c>
      <c r="C195" s="61" t="s">
        <v>149</v>
      </c>
      <c r="D195" s="62" t="s">
        <v>283</v>
      </c>
      <c r="E195" s="71" t="s">
        <v>177</v>
      </c>
      <c r="F195" s="72">
        <v>3571</v>
      </c>
      <c r="G195" s="73" t="s">
        <v>231</v>
      </c>
      <c r="H195" s="74">
        <f>[1]!'@CTA[8-2-1-3-5-3571,F,3,#6]'</f>
        <v>0</v>
      </c>
      <c r="I195" s="74">
        <f>[1]!'@CTA[8-2-3-3-5-3571,F,3,#6]'</f>
        <v>0</v>
      </c>
      <c r="J195" s="75">
        <f>[1]!'@CTA[8-2-1-3-5-3571,F,3,#6]'+[1]!'@CTA[8-2-3-3-5-3571,F,3,#6]'</f>
        <v>0</v>
      </c>
      <c r="K195" s="76">
        <f>[1]!'@CTA[8-2-4-3-5-3571,J,3,#6]'</f>
        <v>0</v>
      </c>
      <c r="L195" s="76">
        <f>[1]!'@CTA[8-2-5-3-5-3571,J,3,#6]'</f>
        <v>0</v>
      </c>
      <c r="M195" s="76">
        <f>[1]!'@CTA[8-2-6-3-5-3571,J,3,#6]'</f>
        <v>0</v>
      </c>
      <c r="N195" s="74">
        <f>[1]!'@CTA[8-2-7-3-5-3571,F,3,#6]'</f>
        <v>0</v>
      </c>
      <c r="O195" s="66">
        <f t="shared" si="10"/>
        <v>0</v>
      </c>
    </row>
    <row r="196" spans="1:15" ht="108" x14ac:dyDescent="0.2">
      <c r="A196" s="67" t="s">
        <v>282</v>
      </c>
      <c r="B196" s="61" t="s">
        <v>152</v>
      </c>
      <c r="C196" s="61" t="s">
        <v>149</v>
      </c>
      <c r="D196" s="62" t="s">
        <v>283</v>
      </c>
      <c r="E196" s="71" t="s">
        <v>177</v>
      </c>
      <c r="F196" s="72">
        <v>3572</v>
      </c>
      <c r="G196" s="73" t="s">
        <v>232</v>
      </c>
      <c r="H196" s="74">
        <f>[1]!'@CTA[8-2-1-3-5-3572,F,3,#6]'</f>
        <v>0</v>
      </c>
      <c r="I196" s="74">
        <f>[1]!'@CTA[8-2-3-3-5-3572,F,3,#6]'</f>
        <v>0</v>
      </c>
      <c r="J196" s="75">
        <f>[1]!'@CTA[8-2-1-3-5-3572,F,3,#6]'+[1]!'@CTA[8-2-3-3-5-3572,F,3,#6]'</f>
        <v>0</v>
      </c>
      <c r="K196" s="76">
        <f>[1]!'@CTA[8-2-4-3-5-3572,J,3,#6]'</f>
        <v>0</v>
      </c>
      <c r="L196" s="76">
        <f>[1]!'@CTA[8-2-5-3-5-3572,J,3,#6]'</f>
        <v>0</v>
      </c>
      <c r="M196" s="76">
        <f>[1]!'@CTA[8-2-6-3-5-3572,J,3,#6]'</f>
        <v>0</v>
      </c>
      <c r="N196" s="74">
        <f>[1]!'@CTA[8-2-7-3-5-3572,F,3,#6]'</f>
        <v>0</v>
      </c>
      <c r="O196" s="66">
        <f t="shared" si="10"/>
        <v>0</v>
      </c>
    </row>
    <row r="197" spans="1:15" ht="108" x14ac:dyDescent="0.2">
      <c r="A197" s="67" t="s">
        <v>282</v>
      </c>
      <c r="B197" s="61" t="s">
        <v>152</v>
      </c>
      <c r="C197" s="61" t="s">
        <v>149</v>
      </c>
      <c r="D197" s="62" t="s">
        <v>283</v>
      </c>
      <c r="E197" s="71" t="s">
        <v>177</v>
      </c>
      <c r="F197" s="72">
        <v>3573</v>
      </c>
      <c r="G197" s="73" t="s">
        <v>233</v>
      </c>
      <c r="H197" s="74">
        <f>[1]!'@CTA[8-2-1-3-5-3573,F,3,#6]'</f>
        <v>0</v>
      </c>
      <c r="I197" s="74">
        <f>[1]!'@CTA[8-2-3-3-5-3573,F,3,#6]'</f>
        <v>0</v>
      </c>
      <c r="J197" s="75">
        <f>[1]!'@CTA[8-2-1-3-5-3573,F,3,#6]'+[1]!'@CTA[8-2-3-3-5-3573,F,3,#6]'</f>
        <v>0</v>
      </c>
      <c r="K197" s="76">
        <f>[1]!'@CTA[8-2-4-3-5-3573,J,3,#6]'</f>
        <v>0</v>
      </c>
      <c r="L197" s="76">
        <f>[1]!'@CTA[8-2-5-3-5-3573,J,3,#6]'</f>
        <v>0</v>
      </c>
      <c r="M197" s="76">
        <f>[1]!'@CTA[8-2-6-3-5-3573,J,3,#6]'</f>
        <v>0</v>
      </c>
      <c r="N197" s="74">
        <f>[1]!'@CTA[8-2-7-3-5-3573,F,3,#6]'</f>
        <v>0</v>
      </c>
      <c r="O197" s="66">
        <f t="shared" ref="O197:O261" si="13">J197-L197</f>
        <v>0</v>
      </c>
    </row>
    <row r="198" spans="1:15" ht="108" x14ac:dyDescent="0.2">
      <c r="A198" s="67" t="s">
        <v>282</v>
      </c>
      <c r="B198" s="61" t="s">
        <v>152</v>
      </c>
      <c r="C198" s="61" t="s">
        <v>149</v>
      </c>
      <c r="D198" s="62" t="s">
        <v>283</v>
      </c>
      <c r="E198" s="71" t="s">
        <v>177</v>
      </c>
      <c r="F198" s="72">
        <v>3574</v>
      </c>
      <c r="G198" s="73" t="s">
        <v>234</v>
      </c>
      <c r="H198" s="74">
        <f>[1]!'@CTA[8-2-1-3-5-3574,F,3,#6]'</f>
        <v>0</v>
      </c>
      <c r="I198" s="74">
        <f>[1]!'@CTA[8-2-3-3-5-3574,F,3,#6]'</f>
        <v>0</v>
      </c>
      <c r="J198" s="75">
        <f>[1]!'@CTA[8-2-1-3-5-3574,F,3,#6]'+[1]!'@CTA[8-2-3-3-5-3574,F,3,#6]'</f>
        <v>0</v>
      </c>
      <c r="K198" s="76">
        <f>[1]!'@CTA[8-2-4-3-5-3574,J,3,#6]'</f>
        <v>0</v>
      </c>
      <c r="L198" s="76">
        <f>[1]!'@CTA[8-2-5-3-5-3574,J,3,#6]'</f>
        <v>0</v>
      </c>
      <c r="M198" s="76">
        <f>[1]!'@CTA[8-2-6-3-5-3574,J,3,#6]'</f>
        <v>0</v>
      </c>
      <c r="N198" s="74">
        <f>[1]!'@CTA[8-2-7-3-5-3574,F,3,#6]'</f>
        <v>0</v>
      </c>
      <c r="O198" s="66">
        <f t="shared" si="13"/>
        <v>0</v>
      </c>
    </row>
    <row r="199" spans="1:15" ht="108" x14ac:dyDescent="0.2">
      <c r="A199" s="67" t="s">
        <v>282</v>
      </c>
      <c r="B199" s="61" t="s">
        <v>152</v>
      </c>
      <c r="C199" s="61" t="s">
        <v>149</v>
      </c>
      <c r="D199" s="62" t="s">
        <v>283</v>
      </c>
      <c r="E199" s="71" t="s">
        <v>177</v>
      </c>
      <c r="F199" s="72">
        <v>3575</v>
      </c>
      <c r="G199" s="73" t="s">
        <v>235</v>
      </c>
      <c r="H199" s="74">
        <f>[1]!'@CTA[8-2-1-3-5-3575,F,3,#6]'</f>
        <v>0</v>
      </c>
      <c r="I199" s="74">
        <f>[1]!'@CTA[8-2-3-3-5-3575,F,3,#6]'</f>
        <v>0</v>
      </c>
      <c r="J199" s="75">
        <f>[1]!'@CTA[8-2-1-3-5-3575,F,3,#6]'+[1]!'@CTA[8-2-3-3-5-3575,F,3,#6]'</f>
        <v>0</v>
      </c>
      <c r="K199" s="76">
        <f>[1]!'@CTA[8-2-4-3-5-3575,J,3,#6]'</f>
        <v>0</v>
      </c>
      <c r="L199" s="76">
        <f>[1]!'@CTA[8-2-5-3-5-3575,J,3,#6]'</f>
        <v>0</v>
      </c>
      <c r="M199" s="76">
        <f>[1]!'@CTA[8-2-6-3-5-3575,J,3,#6]'</f>
        <v>0</v>
      </c>
      <c r="N199" s="74">
        <f>[1]!'@CTA[8-2-7-3-5-3575,F,3,#6]'</f>
        <v>0</v>
      </c>
      <c r="O199" s="66">
        <f t="shared" si="13"/>
        <v>0</v>
      </c>
    </row>
    <row r="200" spans="1:15" ht="108" x14ac:dyDescent="0.2">
      <c r="A200" s="67" t="s">
        <v>282</v>
      </c>
      <c r="B200" s="61" t="s">
        <v>152</v>
      </c>
      <c r="C200" s="61" t="s">
        <v>149</v>
      </c>
      <c r="D200" s="62" t="s">
        <v>283</v>
      </c>
      <c r="E200" s="71" t="s">
        <v>177</v>
      </c>
      <c r="F200" s="72">
        <v>3576</v>
      </c>
      <c r="G200" s="73" t="s">
        <v>236</v>
      </c>
      <c r="H200" s="74">
        <f>[1]!'@CTA[8-2-1-3-5-3576,F,3,#6]'</f>
        <v>0</v>
      </c>
      <c r="I200" s="74">
        <f>[1]!'@CTA[8-2-3-3-5-3576,F,3,#6]'</f>
        <v>0</v>
      </c>
      <c r="J200" s="75">
        <f>[1]!'@CTA[8-2-1-3-5-3576,F,3,#6]'+[1]!'@CTA[8-2-3-3-5-3576,F,3,#6]'</f>
        <v>0</v>
      </c>
      <c r="K200" s="76">
        <f>[1]!'@CTA[8-2-4-3-5-3576,J,3,#6]'</f>
        <v>0</v>
      </c>
      <c r="L200" s="76">
        <f>[1]!'@CTA[8-2-5-3-5-3576,J,3,#6]'</f>
        <v>0</v>
      </c>
      <c r="M200" s="76">
        <f>[1]!'@CTA[8-2-6-3-5-3576,J,3,#6]'</f>
        <v>0</v>
      </c>
      <c r="N200" s="74">
        <f>[1]!'@CTA[8-2-7-3-5-3576,F,3,#6]'</f>
        <v>0</v>
      </c>
      <c r="O200" s="66">
        <f t="shared" si="13"/>
        <v>0</v>
      </c>
    </row>
    <row r="201" spans="1:15" ht="108" x14ac:dyDescent="0.2">
      <c r="A201" s="67" t="s">
        <v>282</v>
      </c>
      <c r="B201" s="61" t="s">
        <v>152</v>
      </c>
      <c r="C201" s="61" t="s">
        <v>149</v>
      </c>
      <c r="D201" s="62" t="s">
        <v>283</v>
      </c>
      <c r="E201" s="71" t="s">
        <v>177</v>
      </c>
      <c r="F201" s="72">
        <v>3577</v>
      </c>
      <c r="G201" s="73" t="s">
        <v>237</v>
      </c>
      <c r="H201" s="74">
        <f>[1]!'@CTA[8-2-1-3-5-3577,F,3,#6]'</f>
        <v>0</v>
      </c>
      <c r="I201" s="74">
        <f>[1]!'@CTA[8-2-3-3-5-3577,F,3,#6]'</f>
        <v>0</v>
      </c>
      <c r="J201" s="75">
        <f>[1]!'@CTA[8-2-1-3-5-3577,F,3,#6]'+[1]!'@CTA[8-2-3-3-5-3577,F,3,#6]'</f>
        <v>0</v>
      </c>
      <c r="K201" s="76">
        <f>[1]!'@CTA[8-2-4-3-5-3577,J,3,#6]'</f>
        <v>0</v>
      </c>
      <c r="L201" s="76">
        <f>[1]!'@CTA[8-2-5-3-5-3577,J,3,#6]'</f>
        <v>0</v>
      </c>
      <c r="M201" s="76">
        <f>[1]!'@CTA[8-2-6-3-5-3577,J,3,#6]'</f>
        <v>0</v>
      </c>
      <c r="N201" s="74">
        <f>[1]!'@CTA[8-2-7-3-5-3577,F,3,#6]'</f>
        <v>0</v>
      </c>
      <c r="O201" s="66">
        <f t="shared" si="13"/>
        <v>0</v>
      </c>
    </row>
    <row r="202" spans="1:15" ht="108" x14ac:dyDescent="0.2">
      <c r="A202" s="67" t="s">
        <v>282</v>
      </c>
      <c r="B202" s="61" t="s">
        <v>152</v>
      </c>
      <c r="C202" s="61" t="s">
        <v>149</v>
      </c>
      <c r="D202" s="62" t="s">
        <v>283</v>
      </c>
      <c r="E202" s="71" t="s">
        <v>177</v>
      </c>
      <c r="F202" s="72">
        <v>3611</v>
      </c>
      <c r="G202" s="73" t="s">
        <v>238</v>
      </c>
      <c r="H202" s="74">
        <f>[1]!'@CTA[8-2-1-3-6-3611,F,3,#6]'</f>
        <v>0</v>
      </c>
      <c r="I202" s="74">
        <f>[1]!'@CTA[8-2-3-3-6-3611,F,3,#6]'</f>
        <v>0</v>
      </c>
      <c r="J202" s="75">
        <f>[1]!'@CTA[8-2-1-3-6-3611,F,3,#6]'+[1]!'@CTA[8-2-3-3-6-3611,F,3,#6]'</f>
        <v>0</v>
      </c>
      <c r="K202" s="76">
        <f>[1]!'@CTA[8-2-4-3-6-3611,J,3,#6]'</f>
        <v>0</v>
      </c>
      <c r="L202" s="76">
        <f>[1]!'@CTA[8-2-5-3-6-3611,J,3,#6]'</f>
        <v>0</v>
      </c>
      <c r="M202" s="76">
        <f>[1]!'@CTA[8-2-6-3-6-3611,J,3,#6]'</f>
        <v>0</v>
      </c>
      <c r="N202" s="74">
        <f>[1]!'@CTA[8-2-7-3-6-3611,F,3,#6]'</f>
        <v>0</v>
      </c>
      <c r="O202" s="66">
        <f t="shared" si="13"/>
        <v>0</v>
      </c>
    </row>
    <row r="203" spans="1:15" ht="108" x14ac:dyDescent="0.2">
      <c r="A203" s="67" t="s">
        <v>282</v>
      </c>
      <c r="B203" s="61" t="s">
        <v>152</v>
      </c>
      <c r="C203" s="61" t="s">
        <v>149</v>
      </c>
      <c r="D203" s="62" t="s">
        <v>283</v>
      </c>
      <c r="E203" s="71" t="s">
        <v>177</v>
      </c>
      <c r="F203" s="72">
        <v>3721</v>
      </c>
      <c r="G203" s="73" t="s">
        <v>239</v>
      </c>
      <c r="H203" s="74">
        <f>[1]!'@CTA[8-2-1-3-7-3721,F,3,#6]'</f>
        <v>900</v>
      </c>
      <c r="I203" s="74">
        <f>[1]!'@CTA[8-2-3-3-7-3721,F,3,#6]'</f>
        <v>0</v>
      </c>
      <c r="J203" s="75">
        <f>[1]!'@CTA[8-2-1-3-7-3721,F,3,#6]'+[1]!'@CTA[8-2-3-3-7-3721,F,3,#6]'</f>
        <v>900</v>
      </c>
      <c r="K203" s="76">
        <f>[1]!'@CTA[8-2-4-3-7-3721,J,3,#6]'</f>
        <v>0</v>
      </c>
      <c r="L203" s="76">
        <f>[1]!'@CTA[8-2-5-3-7-3721,J,3,#6]'</f>
        <v>0</v>
      </c>
      <c r="M203" s="76">
        <f>[1]!'@CTA[8-2-6-3-7-3721,J,3,#6]'</f>
        <v>0</v>
      </c>
      <c r="N203" s="74">
        <f>[1]!'@CTA[8-2-7-3-7-3721,F,3,#6]'</f>
        <v>0</v>
      </c>
      <c r="O203" s="66">
        <f t="shared" si="13"/>
        <v>900</v>
      </c>
    </row>
    <row r="204" spans="1:15" ht="108" x14ac:dyDescent="0.2">
      <c r="A204" s="67" t="s">
        <v>282</v>
      </c>
      <c r="B204" s="61" t="s">
        <v>152</v>
      </c>
      <c r="C204" s="61" t="s">
        <v>149</v>
      </c>
      <c r="D204" s="62" t="s">
        <v>283</v>
      </c>
      <c r="E204" s="71" t="s">
        <v>177</v>
      </c>
      <c r="F204" s="72">
        <v>3722</v>
      </c>
      <c r="G204" s="73" t="s">
        <v>240</v>
      </c>
      <c r="H204" s="74">
        <f>[1]!'@CTA[8-2-1-3-7-3722,F,3,#6]'</f>
        <v>0</v>
      </c>
      <c r="I204" s="74">
        <f>[1]!'@CTA[8-2-3-3-7-3722,F,3,#6]'</f>
        <v>0</v>
      </c>
      <c r="J204" s="75">
        <f>[1]!'@CTA[8-2-1-3-7-3722,F,3,#6]'+[1]!'@CTA[8-2-3-3-7-3722,F,3,#6]'</f>
        <v>0</v>
      </c>
      <c r="K204" s="76">
        <f>[1]!'@CTA[8-2-4-3-7-3722,J,3,#6]'</f>
        <v>0</v>
      </c>
      <c r="L204" s="76">
        <f>[1]!'@CTA[8-2-5-3-7-3722,J,3,#6]'</f>
        <v>0</v>
      </c>
      <c r="M204" s="76">
        <f>[1]!'@CTA[8-2-6-3-7-3722,J,3,#6]'</f>
        <v>0</v>
      </c>
      <c r="N204" s="74">
        <f>[1]!'@CTA[8-2-7-3-7-3722,F,3,#6]'</f>
        <v>0</v>
      </c>
      <c r="O204" s="66">
        <f t="shared" si="13"/>
        <v>0</v>
      </c>
    </row>
    <row r="205" spans="1:15" ht="108" x14ac:dyDescent="0.2">
      <c r="A205" s="67" t="s">
        <v>282</v>
      </c>
      <c r="B205" s="61" t="s">
        <v>152</v>
      </c>
      <c r="C205" s="61" t="s">
        <v>149</v>
      </c>
      <c r="D205" s="62" t="s">
        <v>283</v>
      </c>
      <c r="E205" s="71" t="s">
        <v>177</v>
      </c>
      <c r="F205" s="72">
        <v>3751</v>
      </c>
      <c r="G205" s="73" t="s">
        <v>241</v>
      </c>
      <c r="H205" s="74">
        <f>[1]!'@CTA[8-2-1-3-7-3751,F,3,#6]'</f>
        <v>1800</v>
      </c>
      <c r="I205" s="74">
        <f>[1]!'@CTA[8-2-3-3-7-3751,F,3,#6]'</f>
        <v>0</v>
      </c>
      <c r="J205" s="75">
        <f>[1]!'@CTA[8-2-1-3-7-3751,F,3,#6]'+[1]!'@CTA[8-2-3-3-7-3751,F,3,#6]'</f>
        <v>1800</v>
      </c>
      <c r="K205" s="76">
        <f>[1]!'@CTA[8-2-4-3-7-3751,J,3,#6]'</f>
        <v>0</v>
      </c>
      <c r="L205" s="76">
        <f>[1]!'@CTA[8-2-5-3-7-3751,J,3,#6]'</f>
        <v>0</v>
      </c>
      <c r="M205" s="76">
        <f>[1]!'@CTA[8-2-6-3-7-3751,J,3,#6]'</f>
        <v>0</v>
      </c>
      <c r="N205" s="74">
        <f>[1]!'@CTA[8-2-7-3-7-3751,F,3,#6]'</f>
        <v>0</v>
      </c>
      <c r="O205" s="66">
        <f t="shared" si="13"/>
        <v>1800</v>
      </c>
    </row>
    <row r="206" spans="1:15" ht="108" x14ac:dyDescent="0.2">
      <c r="A206" s="67" t="s">
        <v>282</v>
      </c>
      <c r="B206" s="61" t="s">
        <v>152</v>
      </c>
      <c r="C206" s="61" t="s">
        <v>149</v>
      </c>
      <c r="D206" s="62" t="s">
        <v>283</v>
      </c>
      <c r="E206" s="71" t="s">
        <v>177</v>
      </c>
      <c r="F206" s="72">
        <v>3821</v>
      </c>
      <c r="G206" s="73" t="s">
        <v>242</v>
      </c>
      <c r="H206" s="74">
        <f>[1]!'@CTA[8-2-1-3-8-3821,F,3,#6]'</f>
        <v>0</v>
      </c>
      <c r="I206" s="74">
        <f>[1]!'@CTA[8-2-3-3-8-3821,F,3,#6]'</f>
        <v>0</v>
      </c>
      <c r="J206" s="75">
        <f>[1]!'@CTA[8-2-1-3-8-3821,F,3,#6]'+[1]!'@CTA[8-2-3-3-8-3821,F,3,#6]'</f>
        <v>0</v>
      </c>
      <c r="K206" s="76">
        <f>[1]!'@CTA[8-2-4-3-8-3821,J,3,#6]'</f>
        <v>0</v>
      </c>
      <c r="L206" s="76">
        <f>[1]!'@CTA[8-2-5-3-8-3821,J,3,#6]'</f>
        <v>0</v>
      </c>
      <c r="M206" s="76">
        <f>[1]!'@CTA[8-2-6-3-8-3821,J,3,#6]'</f>
        <v>0</v>
      </c>
      <c r="N206" s="74">
        <f>[1]!'@CTA[8-2-7-3-8-3821,F,3,#6]'</f>
        <v>0</v>
      </c>
      <c r="O206" s="66">
        <f t="shared" si="13"/>
        <v>0</v>
      </c>
    </row>
    <row r="207" spans="1:15" ht="108" x14ac:dyDescent="0.2">
      <c r="A207" s="67" t="s">
        <v>282</v>
      </c>
      <c r="B207" s="61" t="s">
        <v>152</v>
      </c>
      <c r="C207" s="61" t="s">
        <v>149</v>
      </c>
      <c r="D207" s="62" t="s">
        <v>283</v>
      </c>
      <c r="E207" s="71" t="s">
        <v>177</v>
      </c>
      <c r="F207" s="72">
        <v>3822</v>
      </c>
      <c r="G207" s="73" t="s">
        <v>243</v>
      </c>
      <c r="H207" s="74">
        <f>[1]!'@CTA[8-2-1-3-8-3822,F,3,#6]'</f>
        <v>0</v>
      </c>
      <c r="I207" s="74">
        <f>[1]!'@CTA[8-2-3-3-8-3822,F,3,#6]'</f>
        <v>0</v>
      </c>
      <c r="J207" s="75">
        <f>[1]!'@CTA[8-2-1-3-8-3822,F,3,#6]'+[1]!'@CTA[8-2-3-3-8-3822,F,3,#6]'</f>
        <v>0</v>
      </c>
      <c r="K207" s="76">
        <f>[1]!'@CTA[8-2-4-3-8-3822,J,3,#6]'</f>
        <v>0</v>
      </c>
      <c r="L207" s="76">
        <f>[1]!'@CTA[8-2-5-3-8-3822,J,3,#6]'</f>
        <v>0</v>
      </c>
      <c r="M207" s="76">
        <f>[1]!'@CTA[8-2-6-3-8-3822,J,3,#6]'</f>
        <v>0</v>
      </c>
      <c r="N207" s="74">
        <f>[1]!'@CTA[8-2-7-3-8-3822,F,3,#6]'</f>
        <v>0</v>
      </c>
      <c r="O207" s="66">
        <f t="shared" si="13"/>
        <v>0</v>
      </c>
    </row>
    <row r="208" spans="1:15" ht="108" x14ac:dyDescent="0.2">
      <c r="A208" s="67" t="s">
        <v>282</v>
      </c>
      <c r="B208" s="61" t="s">
        <v>152</v>
      </c>
      <c r="C208" s="61" t="s">
        <v>149</v>
      </c>
      <c r="D208" s="62" t="s">
        <v>283</v>
      </c>
      <c r="E208" s="71" t="s">
        <v>177</v>
      </c>
      <c r="F208" s="72">
        <v>3831</v>
      </c>
      <c r="G208" s="73" t="s">
        <v>244</v>
      </c>
      <c r="H208" s="74">
        <f>[1]!'@CTA[8-2-1-3-8-3831,F,3,#6]'</f>
        <v>0</v>
      </c>
      <c r="I208" s="74">
        <f>[1]!'@CTA[8-2-3-3-8-3831,F,3,#6]'</f>
        <v>0</v>
      </c>
      <c r="J208" s="75">
        <f>[1]!'@CTA[8-2-1-3-8-3831,F,3,#6]'+[1]!'@CTA[8-2-3-3-8-3831,F,3,#6]'</f>
        <v>0</v>
      </c>
      <c r="K208" s="76">
        <f>[1]!'@CTA[8-2-4-3-8-3831,J,3,#6]'</f>
        <v>0</v>
      </c>
      <c r="L208" s="76">
        <f>[1]!'@CTA[8-2-5-3-8-3831,J,3,#6]'</f>
        <v>0</v>
      </c>
      <c r="M208" s="76">
        <f>[1]!'@CTA[8-2-6-3-8-3831,J,3,#6]'</f>
        <v>0</v>
      </c>
      <c r="N208" s="74">
        <f>[1]!'@CTA[8-2-7-3-8-3831,F,3,#6]'</f>
        <v>0</v>
      </c>
      <c r="O208" s="66">
        <f t="shared" si="13"/>
        <v>0</v>
      </c>
    </row>
    <row r="209" spans="1:15" ht="108" x14ac:dyDescent="0.2">
      <c r="A209" s="67" t="s">
        <v>282</v>
      </c>
      <c r="B209" s="61" t="s">
        <v>152</v>
      </c>
      <c r="C209" s="61" t="s">
        <v>149</v>
      </c>
      <c r="D209" s="62" t="s">
        <v>283</v>
      </c>
      <c r="E209" s="71" t="s">
        <v>177</v>
      </c>
      <c r="F209" s="72">
        <v>3851</v>
      </c>
      <c r="G209" s="73" t="s">
        <v>245</v>
      </c>
      <c r="H209" s="74">
        <f>[1]!'@CTA[8-2-1-3-8-3851,F,3,#6]'</f>
        <v>0</v>
      </c>
      <c r="I209" s="74">
        <f>[1]!'@CTA[8-2-3-3-8-3851,F,3,#6]'</f>
        <v>0</v>
      </c>
      <c r="J209" s="75">
        <f>[1]!'@CTA[8-2-1-3-8-3851,F,3,#6]'+[1]!'@CTA[8-2-3-3-8-3851,F,3,#6]'</f>
        <v>0</v>
      </c>
      <c r="K209" s="76">
        <f>[1]!'@CTA[8-2-4-3-8-3851,J,3,#6]'</f>
        <v>0</v>
      </c>
      <c r="L209" s="76">
        <f>[1]!'@CTA[8-2-5-3-8-3851,J,3,#6]'</f>
        <v>0</v>
      </c>
      <c r="M209" s="76">
        <f>[1]!'@CTA[8-2-6-3-8-3851,J,3,#6]'</f>
        <v>0</v>
      </c>
      <c r="N209" s="74">
        <f>[1]!'@CTA[8-2-7-3-8-3851,F,3,#6]'</f>
        <v>0</v>
      </c>
      <c r="O209" s="66">
        <f t="shared" si="13"/>
        <v>0</v>
      </c>
    </row>
    <row r="210" spans="1:15" ht="108" x14ac:dyDescent="0.2">
      <c r="A210" s="67" t="s">
        <v>282</v>
      </c>
      <c r="B210" s="61" t="s">
        <v>152</v>
      </c>
      <c r="C210" s="61" t="s">
        <v>149</v>
      </c>
      <c r="D210" s="62" t="s">
        <v>283</v>
      </c>
      <c r="E210" s="71" t="s">
        <v>177</v>
      </c>
      <c r="F210" s="72">
        <v>3921</v>
      </c>
      <c r="G210" s="73" t="s">
        <v>246</v>
      </c>
      <c r="H210" s="74">
        <f>[1]!'@CTA[8-2-1-3-9-3921,F,3,#6]'</f>
        <v>0</v>
      </c>
      <c r="I210" s="74">
        <f>[1]!'@CTA[8-2-3-3-9-3921,F,3,#6]'</f>
        <v>0</v>
      </c>
      <c r="J210" s="75">
        <f>[1]!'@CTA[8-2-1-3-9-3921,F,3,#6]'+[1]!'@CTA[8-2-3-3-9-3921,F,3,#6]'</f>
        <v>0</v>
      </c>
      <c r="K210" s="76">
        <f>[1]!'@CTA[8-2-4-3-9-3921,J,3,#6]'</f>
        <v>0</v>
      </c>
      <c r="L210" s="76">
        <f>[1]!'@CTA[8-2-5-3-9-3921,J,3,#6]'</f>
        <v>0</v>
      </c>
      <c r="M210" s="76">
        <f>[1]!'@CTA[8-2-6-3-9-3921,J,3,#6]'</f>
        <v>0</v>
      </c>
      <c r="N210" s="74">
        <f>[1]!'@CTA[8-2-7-3-9-3921,F,3,#6]'</f>
        <v>0</v>
      </c>
      <c r="O210" s="66">
        <f t="shared" si="13"/>
        <v>0</v>
      </c>
    </row>
    <row r="211" spans="1:15" ht="108" x14ac:dyDescent="0.2">
      <c r="A211" s="67" t="s">
        <v>282</v>
      </c>
      <c r="B211" s="61" t="s">
        <v>152</v>
      </c>
      <c r="C211" s="61" t="s">
        <v>149</v>
      </c>
      <c r="D211" s="62" t="s">
        <v>283</v>
      </c>
      <c r="E211" s="71" t="s">
        <v>177</v>
      </c>
      <c r="F211" s="72">
        <v>3922</v>
      </c>
      <c r="G211" s="73" t="s">
        <v>247</v>
      </c>
      <c r="H211" s="74">
        <f>[1]!'@CTA[8-2-1-3-9-3922,F,3,#6]'</f>
        <v>0</v>
      </c>
      <c r="I211" s="74">
        <f>[1]!'@CTA[8-2-3-3-9-3922,F,3,#6]'</f>
        <v>0</v>
      </c>
      <c r="J211" s="75">
        <f>[1]!'@CTA[8-2-1-3-9-3922,F,3,#6]'+[1]!'@CTA[8-2-3-3-9-3922,F,3,#6]'</f>
        <v>0</v>
      </c>
      <c r="K211" s="76">
        <f>[1]!'@CTA[8-2-4-3-9-3922,J,3,#6]'</f>
        <v>0</v>
      </c>
      <c r="L211" s="76">
        <f>[1]!'@CTA[8-2-5-3-9-3922,J,3,#6]'</f>
        <v>0</v>
      </c>
      <c r="M211" s="76">
        <f>[1]!'@CTA[8-2-6-3-9-3922,J,3,#6]'</f>
        <v>0</v>
      </c>
      <c r="N211" s="74">
        <f>[1]!'@CTA[8-2-7-3-9-3922,F,3,#6]'</f>
        <v>0</v>
      </c>
      <c r="O211" s="66">
        <f t="shared" si="13"/>
        <v>0</v>
      </c>
    </row>
    <row r="212" spans="1:15" ht="108" x14ac:dyDescent="0.2">
      <c r="A212" s="67" t="s">
        <v>282</v>
      </c>
      <c r="B212" s="61" t="s">
        <v>152</v>
      </c>
      <c r="C212" s="61" t="s">
        <v>149</v>
      </c>
      <c r="D212" s="62" t="s">
        <v>283</v>
      </c>
      <c r="E212" s="71" t="s">
        <v>177</v>
      </c>
      <c r="F212" s="72">
        <v>3923</v>
      </c>
      <c r="G212" s="73" t="s">
        <v>248</v>
      </c>
      <c r="H212" s="74">
        <f>[1]!'@CTA[8-2-1-3-9-3923,F,3,#6]'</f>
        <v>0</v>
      </c>
      <c r="I212" s="74">
        <f>[1]!'@CTA[8-2-3-3-9-3923,F,3,#6]'</f>
        <v>0</v>
      </c>
      <c r="J212" s="75">
        <f>[1]!'@CTA[8-2-1-3-9-3923,F,3,#6]'+[1]!'@CTA[8-2-3-3-9-3923,F,3,#6]'</f>
        <v>0</v>
      </c>
      <c r="K212" s="76">
        <f>[1]!'@CTA[8-2-4-3-9-3923,J,3,#6]'</f>
        <v>0</v>
      </c>
      <c r="L212" s="76">
        <f>[1]!'@CTA[8-2-5-3-9-3923,J,3,#6]'</f>
        <v>0</v>
      </c>
      <c r="M212" s="76">
        <f>[1]!'@CTA[8-2-6-3-9-3923,J,3,#6]'</f>
        <v>0</v>
      </c>
      <c r="N212" s="74">
        <f>[1]!'@CTA[8-2-7-3-9-3923,F,3,#6]'</f>
        <v>0</v>
      </c>
      <c r="O212" s="66">
        <f t="shared" si="13"/>
        <v>0</v>
      </c>
    </row>
    <row r="213" spans="1:15" ht="108" x14ac:dyDescent="0.2">
      <c r="A213" s="67" t="s">
        <v>282</v>
      </c>
      <c r="B213" s="61" t="s">
        <v>152</v>
      </c>
      <c r="C213" s="61" t="s">
        <v>149</v>
      </c>
      <c r="D213" s="62" t="s">
        <v>283</v>
      </c>
      <c r="E213" s="71" t="s">
        <v>177</v>
      </c>
      <c r="F213" s="72">
        <v>3924</v>
      </c>
      <c r="G213" s="73" t="s">
        <v>249</v>
      </c>
      <c r="H213" s="74">
        <f>[1]!'@CTA[8-2-1-3-9-3924,F,3,#6]'</f>
        <v>575</v>
      </c>
      <c r="I213" s="74">
        <f>[1]!'@CTA[8-2-3-3-9-3924,F,3,#6]'</f>
        <v>0</v>
      </c>
      <c r="J213" s="75">
        <f>[1]!'@CTA[8-2-1-3-9-3924,F,3,#6]'+[1]!'@CTA[8-2-3-3-9-3924,F,3,#6]'</f>
        <v>575</v>
      </c>
      <c r="K213" s="76">
        <f>[1]!'@CTA[8-2-4-3-9-3924,J,3,#6]'</f>
        <v>586.4</v>
      </c>
      <c r="L213" s="76">
        <f>[1]!'@CTA[8-2-5-3-9-3924,J,3,#6]'</f>
        <v>586.4</v>
      </c>
      <c r="M213" s="76">
        <f>[1]!'@CTA[8-2-6-3-9-3924,J,3,#6]'</f>
        <v>586.4</v>
      </c>
      <c r="N213" s="74">
        <f>[1]!'@CTA[8-2-7-3-9-3924,F,3,#6]'</f>
        <v>586.4</v>
      </c>
      <c r="O213" s="66">
        <f t="shared" si="13"/>
        <v>-11.399999999999977</v>
      </c>
    </row>
    <row r="214" spans="1:15" ht="108" x14ac:dyDescent="0.2">
      <c r="A214" s="67" t="s">
        <v>282</v>
      </c>
      <c r="B214" s="61" t="s">
        <v>152</v>
      </c>
      <c r="C214" s="61" t="s">
        <v>149</v>
      </c>
      <c r="D214" s="62" t="s">
        <v>283</v>
      </c>
      <c r="E214" s="71" t="s">
        <v>177</v>
      </c>
      <c r="F214" s="72">
        <v>3925</v>
      </c>
      <c r="G214" s="73" t="s">
        <v>250</v>
      </c>
      <c r="H214" s="74">
        <f>[1]!'@CTA[8-2-1-3-9-3925,F,3,#6]'</f>
        <v>0</v>
      </c>
      <c r="I214" s="74">
        <f>[1]!'@CTA[8-2-3-3-9-3925,F,3,#6]'</f>
        <v>3800</v>
      </c>
      <c r="J214" s="75">
        <f>[1]!'@CTA[8-2-1-3-9-3925,F,3,#6]'+[1]!'@CTA[8-2-3-3-9-3925,F,3,#6]'</f>
        <v>3800</v>
      </c>
      <c r="K214" s="76">
        <f>[1]!'@CTA[8-2-4-3-9-3925,J,3,#6]'</f>
        <v>5207</v>
      </c>
      <c r="L214" s="76">
        <f>[1]!'@CTA[8-2-5-3-9-3925,J,3,#6]'</f>
        <v>5207</v>
      </c>
      <c r="M214" s="76">
        <f>[1]!'@CTA[8-2-6-3-9-3925,J,3,#6]'</f>
        <v>5207</v>
      </c>
      <c r="N214" s="74">
        <f>[1]!'@CTA[8-2-7-3-9-3925,F,3,#6]'</f>
        <v>5207</v>
      </c>
      <c r="O214" s="66">
        <f t="shared" si="13"/>
        <v>-1407</v>
      </c>
    </row>
    <row r="215" spans="1:15" ht="108" x14ac:dyDescent="0.2">
      <c r="A215" s="67" t="s">
        <v>282</v>
      </c>
      <c r="B215" s="61" t="s">
        <v>152</v>
      </c>
      <c r="C215" s="61" t="s">
        <v>149</v>
      </c>
      <c r="D215" s="62" t="s">
        <v>283</v>
      </c>
      <c r="E215" s="71" t="s">
        <v>177</v>
      </c>
      <c r="F215" s="72">
        <v>3926</v>
      </c>
      <c r="G215" s="73" t="s">
        <v>251</v>
      </c>
      <c r="H215" s="74">
        <f>[1]!'@CTA[8-2-1-3-9-3926,F,3,#6]'</f>
        <v>0</v>
      </c>
      <c r="I215" s="74">
        <f>[1]!'@CTA[8-2-3-3-9-3926,F,3,#6]'</f>
        <v>0</v>
      </c>
      <c r="J215" s="75">
        <f>[1]!'@CTA[8-2-1-3-9-3926,F,3,#6]'+[1]!'@CTA[8-2-3-3-9-3926,F,3,#6]'</f>
        <v>0</v>
      </c>
      <c r="K215" s="76">
        <f>[1]!'@CTA[8-2-4-3-9-3926,J,3,#6]'</f>
        <v>0</v>
      </c>
      <c r="L215" s="76">
        <f>[1]!'@CTA[8-2-5-3-9-3926,J,3,#6]'</f>
        <v>0</v>
      </c>
      <c r="M215" s="76">
        <f>[1]!'@CTA[8-2-6-3-9-3926,J,3,#6]'</f>
        <v>0</v>
      </c>
      <c r="N215" s="74">
        <f>[1]!'@CTA[8-2-7-3-9-3926,F,3,#6]'</f>
        <v>0</v>
      </c>
      <c r="O215" s="66">
        <f t="shared" si="13"/>
        <v>0</v>
      </c>
    </row>
    <row r="216" spans="1:15" ht="108" x14ac:dyDescent="0.2">
      <c r="A216" s="67" t="s">
        <v>282</v>
      </c>
      <c r="B216" s="61" t="s">
        <v>152</v>
      </c>
      <c r="C216" s="61" t="s">
        <v>149</v>
      </c>
      <c r="D216" s="62" t="s">
        <v>283</v>
      </c>
      <c r="E216" s="71" t="s">
        <v>177</v>
      </c>
      <c r="F216" s="72">
        <v>3961</v>
      </c>
      <c r="G216" s="73" t="s">
        <v>252</v>
      </c>
      <c r="H216" s="74">
        <f>[1]!'@CTA[8-2-1-3-9-3961,F,3,#6]'</f>
        <v>0</v>
      </c>
      <c r="I216" s="74">
        <f>[1]!'@CTA[8-2-3-3-9-3961,F,3,#6]'</f>
        <v>0</v>
      </c>
      <c r="J216" s="75">
        <f>[1]!'@CTA[8-2-1-3-9-3961,F,3,#6]'+[1]!'@CTA[8-2-3-3-9-3961,F,3,#6]'</f>
        <v>0</v>
      </c>
      <c r="K216" s="76">
        <f>[1]!'@CTA[8-2-4-3-9-3961,J,3,#6]'</f>
        <v>0</v>
      </c>
      <c r="L216" s="76">
        <f>[1]!'@CTA[8-2-5-3-9-3961,J,3,#6]'</f>
        <v>0</v>
      </c>
      <c r="M216" s="76">
        <f>[1]!'@CTA[8-2-6-3-9-3961,J,3,#6]'</f>
        <v>0</v>
      </c>
      <c r="N216" s="74">
        <f>[1]!'@CTA[8-2-7-3-9-3961,F,3,#6]'</f>
        <v>0</v>
      </c>
      <c r="O216" s="66">
        <f t="shared" si="13"/>
        <v>0</v>
      </c>
    </row>
    <row r="217" spans="1:15" ht="108" x14ac:dyDescent="0.2">
      <c r="A217" s="67" t="s">
        <v>282</v>
      </c>
      <c r="B217" s="61" t="s">
        <v>152</v>
      </c>
      <c r="C217" s="61" t="s">
        <v>149</v>
      </c>
      <c r="D217" s="62" t="s">
        <v>283</v>
      </c>
      <c r="E217" s="71" t="s">
        <v>177</v>
      </c>
      <c r="F217" s="72">
        <v>3962</v>
      </c>
      <c r="G217" s="73" t="s">
        <v>253</v>
      </c>
      <c r="H217" s="74">
        <f>[1]!'@CTA[8-2-1-3-9-3962,F,3,#6]'</f>
        <v>0</v>
      </c>
      <c r="I217" s="74">
        <f>[1]!'@CTA[8-2-3-3-9-3962,F,3,#6]'</f>
        <v>0</v>
      </c>
      <c r="J217" s="75">
        <f>[1]!'@CTA[8-2-1-3-9-3962,F,3,#6]'+[1]!'@CTA[8-2-3-3-9-3962,F,3,#6]'</f>
        <v>0</v>
      </c>
      <c r="K217" s="76">
        <f>[1]!'@CTA[8-2-4-3-9-3962,J,3,#6]'</f>
        <v>0</v>
      </c>
      <c r="L217" s="76">
        <f>[1]!'@CTA[8-2-5-3-9-3962,J,3,#6]'</f>
        <v>0</v>
      </c>
      <c r="M217" s="76">
        <f>[1]!'@CTA[8-2-6-3-9-3962,J,3,#6]'</f>
        <v>0</v>
      </c>
      <c r="N217" s="74">
        <f>[1]!'@CTA[8-2-7-3-9-3962,F,3,#6]'</f>
        <v>0</v>
      </c>
      <c r="O217" s="66">
        <f t="shared" si="13"/>
        <v>0</v>
      </c>
    </row>
    <row r="218" spans="1:15" ht="108" x14ac:dyDescent="0.2">
      <c r="A218" s="67" t="s">
        <v>282</v>
      </c>
      <c r="B218" s="61" t="s">
        <v>152</v>
      </c>
      <c r="C218" s="61" t="s">
        <v>149</v>
      </c>
      <c r="D218" s="62" t="s">
        <v>283</v>
      </c>
      <c r="E218" s="71" t="s">
        <v>254</v>
      </c>
      <c r="F218" s="72">
        <v>3981</v>
      </c>
      <c r="G218" s="73" t="s">
        <v>255</v>
      </c>
      <c r="H218" s="74">
        <f>[1]!'@CTA[8-2-1-3-9-3981,F,3,#6]'</f>
        <v>28602</v>
      </c>
      <c r="I218" s="74">
        <f>[1]!'@CTA[8-2-3-3-9-3981,F,3,#6]'</f>
        <v>3357.41</v>
      </c>
      <c r="J218" s="75">
        <f>[1]!'@CTA[8-2-1-3-9-3981,F,3,#6]'+[1]!'@CTA[8-2-3-3-9-3981,F,3,#6]'</f>
        <v>31959.41</v>
      </c>
      <c r="K218" s="76">
        <f>[1]!'@CTA[8-2-4-3-9-3981,J,3,#6]'</f>
        <v>5747.17</v>
      </c>
      <c r="L218" s="76">
        <f>[1]!'@CTA[8-2-5-3-9-3981,J,3,#6]'</f>
        <v>5747.17</v>
      </c>
      <c r="M218" s="76">
        <f>[1]!'@CTA[8-2-6-3-9-3981,J,3,#6]'</f>
        <v>5747.17</v>
      </c>
      <c r="N218" s="74">
        <f>[1]!'@CTA[8-2-7-3-9-3981,F,3,#6]'</f>
        <v>3507.080000000009</v>
      </c>
      <c r="O218" s="66">
        <f t="shared" si="13"/>
        <v>26212.239999999998</v>
      </c>
    </row>
    <row r="219" spans="1:15" ht="108" x14ac:dyDescent="0.2">
      <c r="A219" s="67" t="s">
        <v>282</v>
      </c>
      <c r="B219" s="61"/>
      <c r="C219" s="61" t="s">
        <v>149</v>
      </c>
      <c r="D219" s="62" t="s">
        <v>283</v>
      </c>
      <c r="E219" s="61"/>
      <c r="F219" s="63">
        <v>5000</v>
      </c>
      <c r="G219" s="77" t="s">
        <v>256</v>
      </c>
      <c r="H219" s="69">
        <f t="shared" ref="H219:N219" si="14">SUBTOTAL(9,H220:H231)</f>
        <v>12001</v>
      </c>
      <c r="I219" s="69">
        <f t="shared" si="14"/>
        <v>0</v>
      </c>
      <c r="J219" s="69">
        <f t="shared" si="14"/>
        <v>12001</v>
      </c>
      <c r="K219" s="70">
        <f t="shared" si="14"/>
        <v>0</v>
      </c>
      <c r="L219" s="70">
        <f t="shared" si="14"/>
        <v>0</v>
      </c>
      <c r="M219" s="70">
        <f t="shared" si="14"/>
        <v>0</v>
      </c>
      <c r="N219" s="69">
        <f t="shared" si="14"/>
        <v>9.0949470177292824E-13</v>
      </c>
      <c r="O219" s="66">
        <f t="shared" si="13"/>
        <v>12001</v>
      </c>
    </row>
    <row r="220" spans="1:15" ht="108" x14ac:dyDescent="0.2">
      <c r="A220" s="67" t="s">
        <v>282</v>
      </c>
      <c r="B220" s="61" t="s">
        <v>152</v>
      </c>
      <c r="C220" s="61" t="s">
        <v>149</v>
      </c>
      <c r="D220" s="62" t="s">
        <v>283</v>
      </c>
      <c r="E220" s="71" t="s">
        <v>257</v>
      </c>
      <c r="F220" s="72">
        <v>5111</v>
      </c>
      <c r="G220" s="73" t="s">
        <v>258</v>
      </c>
      <c r="H220" s="74">
        <f>[1]!'@CTA[8-2-1-5-1-5111,F,3,#6]'</f>
        <v>4000</v>
      </c>
      <c r="I220" s="74">
        <f>[1]!'@CTA[8-2-3-5-1-5111,F,3,#6]'</f>
        <v>0</v>
      </c>
      <c r="J220" s="75">
        <f>[1]!'@CTA[8-2-1-5-1-5111,F,3,#6]'+[1]!'@CTA[8-2-3-5-1-5111,F,3,#6]'</f>
        <v>4000</v>
      </c>
      <c r="K220" s="76">
        <f>[1]!'@CTA[8-2-4-5-1-5111,J,3,#6]'</f>
        <v>0</v>
      </c>
      <c r="L220" s="76">
        <f>[1]!'@CTA[8-2-5-5-1-5111,J,3,#6]'</f>
        <v>0</v>
      </c>
      <c r="M220" s="76">
        <f>[1]!'@CTA[8-2-6-5-1-5111,J,3,#6]'</f>
        <v>0</v>
      </c>
      <c r="N220" s="74">
        <f>[1]!'@CTA[8-2-7-5-1-5111,F,3,#6]'</f>
        <v>0</v>
      </c>
      <c r="O220" s="66">
        <f t="shared" si="13"/>
        <v>4000</v>
      </c>
    </row>
    <row r="221" spans="1:15" ht="108" x14ac:dyDescent="0.2">
      <c r="A221" s="67" t="s">
        <v>282</v>
      </c>
      <c r="B221" s="61" t="s">
        <v>152</v>
      </c>
      <c r="C221" s="61" t="s">
        <v>149</v>
      </c>
      <c r="D221" s="62" t="s">
        <v>283</v>
      </c>
      <c r="E221" s="71" t="s">
        <v>259</v>
      </c>
      <c r="F221" s="72">
        <v>5151</v>
      </c>
      <c r="G221" s="73" t="s">
        <v>260</v>
      </c>
      <c r="H221" s="74">
        <f>[1]!'@CTA[8-2-1-5-1-5151,F,3,#6]'</f>
        <v>8001</v>
      </c>
      <c r="I221" s="74">
        <f>[1]!'@CTA[8-2-3-5-1-5151,F,3,#6]'</f>
        <v>0</v>
      </c>
      <c r="J221" s="75">
        <f>[1]!'@CTA[8-2-1-5-1-5151,F,3,#6]'+[1]!'@CTA[8-2-3-5-1-5151,F,3,#6]'</f>
        <v>8001</v>
      </c>
      <c r="K221" s="76">
        <f>[1]!'@CTA[8-2-4-5-1-5151,J,3,#6]'</f>
        <v>0</v>
      </c>
      <c r="L221" s="76">
        <f>[1]!'@CTA[8-2-5-5-1-5151,J,3,#6]'</f>
        <v>0</v>
      </c>
      <c r="M221" s="76">
        <f>[1]!'@CTA[8-2-6-5-1-5151,J,3,#6]'</f>
        <v>0</v>
      </c>
      <c r="N221" s="74">
        <f>[1]!'@CTA[8-2-7-5-1-5151,F,3,#6]'</f>
        <v>9.0949470177292824E-13</v>
      </c>
      <c r="O221" s="66">
        <f t="shared" si="13"/>
        <v>8001</v>
      </c>
    </row>
    <row r="222" spans="1:15" ht="108" x14ac:dyDescent="0.2">
      <c r="A222" s="67" t="s">
        <v>282</v>
      </c>
      <c r="B222" s="61" t="s">
        <v>152</v>
      </c>
      <c r="C222" s="61" t="s">
        <v>149</v>
      </c>
      <c r="D222" s="62" t="s">
        <v>283</v>
      </c>
      <c r="E222" s="71" t="s">
        <v>259</v>
      </c>
      <c r="F222" s="72">
        <v>5152</v>
      </c>
      <c r="G222" s="73" t="s">
        <v>261</v>
      </c>
      <c r="H222" s="74">
        <f>[1]!'@CTA[8-2-1-5-1-5152,F,3,#6]'</f>
        <v>0</v>
      </c>
      <c r="I222" s="74">
        <f>[1]!'@CTA[8-2-3-5-1-5152,F,3,#6]'</f>
        <v>0</v>
      </c>
      <c r="J222" s="75">
        <f>[1]!'@CTA[8-2-1-5-1-5152,F,3,#6]'+[1]!'@CTA[8-2-3-5-1-5152,F,3,#6]'</f>
        <v>0</v>
      </c>
      <c r="K222" s="76">
        <f>[1]!'@CTA[8-2-4-5-1-5152,J,3,#6]'</f>
        <v>0</v>
      </c>
      <c r="L222" s="76">
        <f>[1]!'@CTA[8-2-5-5-1-5152,J,3,#6]'</f>
        <v>0</v>
      </c>
      <c r="M222" s="76">
        <f>[1]!'@CTA[8-2-6-5-1-5152,J,3,#6]'</f>
        <v>0</v>
      </c>
      <c r="N222" s="74">
        <f>[1]!'@CTA[8-2-7-5-1-5152,F,3,#6]'</f>
        <v>0</v>
      </c>
      <c r="O222" s="66">
        <f t="shared" si="13"/>
        <v>0</v>
      </c>
    </row>
    <row r="223" spans="1:15" ht="108" x14ac:dyDescent="0.2">
      <c r="A223" s="67" t="s">
        <v>282</v>
      </c>
      <c r="B223" s="61" t="s">
        <v>152</v>
      </c>
      <c r="C223" s="61" t="s">
        <v>149</v>
      </c>
      <c r="D223" s="62" t="s">
        <v>283</v>
      </c>
      <c r="E223" s="71" t="s">
        <v>259</v>
      </c>
      <c r="F223" s="72">
        <v>5153</v>
      </c>
      <c r="G223" s="73" t="s">
        <v>262</v>
      </c>
      <c r="H223" s="74">
        <f>[1]!'@CTA[8-2-1-5-1-5153,F,3,#6]'</f>
        <v>0</v>
      </c>
      <c r="I223" s="74">
        <f>[1]!'@CTA[8-2-3-5-1-5153,F,3,#6]'</f>
        <v>0</v>
      </c>
      <c r="J223" s="75">
        <f>[1]!'@CTA[8-2-1-5-1-5153,F,3,#6]'+[1]!'@CTA[8-2-3-5-1-5153,F,3,#6]'</f>
        <v>0</v>
      </c>
      <c r="K223" s="76">
        <f>[1]!'@CTA[8-2-4-5-1-5153,J,3,#6]'</f>
        <v>0</v>
      </c>
      <c r="L223" s="76">
        <f>[1]!'@CTA[8-2-5-5-1-5153,J,3,#6]'</f>
        <v>0</v>
      </c>
      <c r="M223" s="76">
        <f>[1]!'@CTA[8-2-6-5-1-5153,J,3,#6]'</f>
        <v>0</v>
      </c>
      <c r="N223" s="74">
        <f>[1]!'@CTA[8-2-7-5-1-5153,F,3,#6]'</f>
        <v>0</v>
      </c>
      <c r="O223" s="66">
        <f t="shared" si="13"/>
        <v>0</v>
      </c>
    </row>
    <row r="224" spans="1:15" ht="108" x14ac:dyDescent="0.2">
      <c r="A224" s="67" t="s">
        <v>282</v>
      </c>
      <c r="B224" s="61" t="s">
        <v>152</v>
      </c>
      <c r="C224" s="61" t="s">
        <v>149</v>
      </c>
      <c r="D224" s="62" t="s">
        <v>283</v>
      </c>
      <c r="E224" s="71" t="s">
        <v>257</v>
      </c>
      <c r="F224" s="72">
        <v>5231</v>
      </c>
      <c r="G224" s="73" t="s">
        <v>263</v>
      </c>
      <c r="H224" s="74">
        <f>[1]!'@CTA[8-2-1-5-2-5231,F,3,#6]'</f>
        <v>0</v>
      </c>
      <c r="I224" s="74">
        <f>[1]!'@CTA[8-2-3-5-2-5231,F,3,#6]'</f>
        <v>0</v>
      </c>
      <c r="J224" s="75">
        <f>[1]!'@CTA[8-2-1-5-2-5231,F,3,#6]'+[1]!'@CTA[8-2-3-5-2-5231,F,3,#6]'</f>
        <v>0</v>
      </c>
      <c r="K224" s="76">
        <f>[1]!'@CTA[8-2-4-5-2-5231,J,3,#6]'</f>
        <v>0</v>
      </c>
      <c r="L224" s="76">
        <f>[1]!'@CTA[8-2-5-5-2-5231,J,3,#6]'</f>
        <v>0</v>
      </c>
      <c r="M224" s="76">
        <f>[1]!'@CTA[8-2-6-5-2-5231,J,3,#6]'</f>
        <v>0</v>
      </c>
      <c r="N224" s="74">
        <f>[1]!'@CTA[8-2-7-5-2-5231,F,3,#6]'</f>
        <v>0</v>
      </c>
      <c r="O224" s="66">
        <f t="shared" si="13"/>
        <v>0</v>
      </c>
    </row>
    <row r="225" spans="1:15" ht="108" x14ac:dyDescent="0.2">
      <c r="A225" s="67" t="s">
        <v>282</v>
      </c>
      <c r="B225" s="61" t="s">
        <v>152</v>
      </c>
      <c r="C225" s="61" t="s">
        <v>149</v>
      </c>
      <c r="D225" s="62" t="s">
        <v>283</v>
      </c>
      <c r="E225" s="71" t="s">
        <v>264</v>
      </c>
      <c r="F225" s="72">
        <v>5411</v>
      </c>
      <c r="G225" s="73" t="s">
        <v>265</v>
      </c>
      <c r="H225" s="74">
        <f>[1]!'@CTA[8-2-1-5-4-5411,F,3,#6]'</f>
        <v>0</v>
      </c>
      <c r="I225" s="74">
        <f>[1]!'@CTA[8-2-3-5-4-5411,F,3,#6]'</f>
        <v>0</v>
      </c>
      <c r="J225" s="75">
        <f>[1]!'@CTA[8-2-1-5-4-5411,F,3,#6]'+[1]!'@CTA[8-2-3-5-4-5411,F,3,#6]'</f>
        <v>0</v>
      </c>
      <c r="K225" s="76">
        <f>[1]!'@CTA[8-2-4-5-4-5411,J,3,#6]'</f>
        <v>0</v>
      </c>
      <c r="L225" s="76">
        <f>[1]!'@CTA[8-2-5-5-4-5411,J,3,#6]'</f>
        <v>0</v>
      </c>
      <c r="M225" s="76">
        <f>[1]!'@CTA[8-2-6-5-4-5411,J,3,#6]'</f>
        <v>0</v>
      </c>
      <c r="N225" s="74">
        <f>[1]!'@CTA[8-2-7-5-4-5411,F,3,#6]'</f>
        <v>0</v>
      </c>
      <c r="O225" s="66">
        <f t="shared" si="13"/>
        <v>0</v>
      </c>
    </row>
    <row r="226" spans="1:15" ht="108" x14ac:dyDescent="0.2">
      <c r="A226" s="67" t="s">
        <v>282</v>
      </c>
      <c r="B226" s="61" t="s">
        <v>152</v>
      </c>
      <c r="C226" s="61" t="s">
        <v>149</v>
      </c>
      <c r="D226" s="62" t="s">
        <v>283</v>
      </c>
      <c r="E226" s="71" t="s">
        <v>264</v>
      </c>
      <c r="F226" s="72">
        <v>5491</v>
      </c>
      <c r="G226" s="73" t="s">
        <v>266</v>
      </c>
      <c r="H226" s="74">
        <f>[1]!'@CTA[8-2-1-5-4-5491,F,3,#6]'</f>
        <v>0</v>
      </c>
      <c r="I226" s="74">
        <f>[1]!'@CTA[8-2-3-5-4-5491,F,3,#6]'</f>
        <v>0</v>
      </c>
      <c r="J226" s="75">
        <f>[1]!'@CTA[8-2-1-5-4-5491,F,3,#6]'+[1]!'@CTA[8-2-3-5-4-5491,F,3,#6]'</f>
        <v>0</v>
      </c>
      <c r="K226" s="76">
        <f>[1]!'@CTA[8-2-4-5-4-5491,J,3,#6]'</f>
        <v>0</v>
      </c>
      <c r="L226" s="76">
        <f>[1]!'@CTA[8-2-5-5-4-5491,J,3,#6]'</f>
        <v>0</v>
      </c>
      <c r="M226" s="76">
        <f>[1]!'@CTA[8-2-6-5-4-5491,J,3,#6]'</f>
        <v>0</v>
      </c>
      <c r="N226" s="74">
        <f>[1]!'@CTA[8-2-7-5-4-5491,F,3,#6]'</f>
        <v>0</v>
      </c>
      <c r="O226" s="66">
        <f t="shared" si="13"/>
        <v>0</v>
      </c>
    </row>
    <row r="227" spans="1:15" ht="108" x14ac:dyDescent="0.2">
      <c r="A227" s="67" t="s">
        <v>282</v>
      </c>
      <c r="B227" s="61" t="s">
        <v>152</v>
      </c>
      <c r="C227" s="61" t="s">
        <v>149</v>
      </c>
      <c r="D227" s="62" t="s">
        <v>283</v>
      </c>
      <c r="E227" s="71" t="s">
        <v>257</v>
      </c>
      <c r="F227" s="72">
        <v>5631</v>
      </c>
      <c r="G227" s="73" t="s">
        <v>267</v>
      </c>
      <c r="H227" s="74">
        <f>[1]!'@CTA[8-2-1-5-6-5631,F,3,#6]'</f>
        <v>0</v>
      </c>
      <c r="I227" s="74">
        <f>[1]!'@CTA[8-2-3-5-6-5631,F,3,#6]'</f>
        <v>0</v>
      </c>
      <c r="J227" s="75">
        <f>[1]!'@CTA[8-2-1-5-6-5631,F,3,#6]'+[1]!'@CTA[8-2-3-5-6-5631,F,3,#6]'</f>
        <v>0</v>
      </c>
      <c r="K227" s="76">
        <f>[1]!'@CTA[8-2-4-5-6-5631,J,3,#6]'</f>
        <v>0</v>
      </c>
      <c r="L227" s="76">
        <f>[1]!'@CTA[8-2-5-5-6-5631,J,3,#6]'</f>
        <v>0</v>
      </c>
      <c r="M227" s="76">
        <f>[1]!'@CTA[8-2-6-5-6-5631,J,3,#6]'</f>
        <v>0</v>
      </c>
      <c r="N227" s="74">
        <f>[1]!'@CTA[8-2-7-5-6-5631,F,3,#6]'</f>
        <v>0</v>
      </c>
      <c r="O227" s="66">
        <f t="shared" si="13"/>
        <v>0</v>
      </c>
    </row>
    <row r="228" spans="1:15" ht="108" x14ac:dyDescent="0.2">
      <c r="A228" s="67" t="s">
        <v>282</v>
      </c>
      <c r="B228" s="61" t="s">
        <v>152</v>
      </c>
      <c r="C228" s="61" t="s">
        <v>149</v>
      </c>
      <c r="D228" s="62" t="s">
        <v>283</v>
      </c>
      <c r="E228" s="71" t="s">
        <v>257</v>
      </c>
      <c r="F228" s="72">
        <v>5651</v>
      </c>
      <c r="G228" s="73" t="s">
        <v>268</v>
      </c>
      <c r="H228" s="74">
        <f>[1]!'@CTA[8-2-1-5-6-5651,F,3,#6]'</f>
        <v>0</v>
      </c>
      <c r="I228" s="74">
        <f>[1]!'@CTA[8-2-3-5-6-5651,F,3,#6]'</f>
        <v>0</v>
      </c>
      <c r="J228" s="75">
        <f>[1]!'@CTA[8-2-1-5-6-5651,F,3,#6]'+[1]!'@CTA[8-2-3-5-6-5651,F,3,#6]'</f>
        <v>0</v>
      </c>
      <c r="K228" s="76">
        <f>[1]!'@CTA[8-2-4-5-6-5651,J,3,#6]'</f>
        <v>0</v>
      </c>
      <c r="L228" s="76">
        <f>[1]!'@CTA[8-2-5-5-6-5651,J,3,#6]'</f>
        <v>0</v>
      </c>
      <c r="M228" s="76">
        <f>[1]!'@CTA[8-2-6-5-6-5651,J,3,#6]'</f>
        <v>0</v>
      </c>
      <c r="N228" s="74">
        <f>[1]!'@CTA[8-2-7-5-6-5651,F,3,#6]'</f>
        <v>0</v>
      </c>
      <c r="O228" s="66">
        <f t="shared" si="13"/>
        <v>0</v>
      </c>
    </row>
    <row r="229" spans="1:15" ht="108" x14ac:dyDescent="0.2">
      <c r="A229" s="67" t="s">
        <v>282</v>
      </c>
      <c r="B229" s="61" t="s">
        <v>152</v>
      </c>
      <c r="C229" s="61" t="s">
        <v>149</v>
      </c>
      <c r="D229" s="62" t="s">
        <v>283</v>
      </c>
      <c r="E229" s="71" t="s">
        <v>257</v>
      </c>
      <c r="F229" s="72">
        <v>5671</v>
      </c>
      <c r="G229" s="73" t="s">
        <v>269</v>
      </c>
      <c r="H229" s="74">
        <f>[1]!'@CTA[8-2-1-5-6-5671,F,3,#6]'</f>
        <v>0</v>
      </c>
      <c r="I229" s="74">
        <f>[1]!'@CTA[8-2-3-5-6-5671,F,3,#6]'</f>
        <v>0</v>
      </c>
      <c r="J229" s="75">
        <f>[1]!'@CTA[8-2-1-5-6-5671,F,3,#6]'+[1]!'@CTA[8-2-3-5-6-5671,F,3,#6]'</f>
        <v>0</v>
      </c>
      <c r="K229" s="76">
        <f>[1]!'@CTA[8-2-4-5-6-5671,J,3,#6]'</f>
        <v>0</v>
      </c>
      <c r="L229" s="76">
        <f>[1]!'@CTA[8-2-5-5-6-5671,J,3,#6]'</f>
        <v>0</v>
      </c>
      <c r="M229" s="76">
        <f>[1]!'@CTA[8-2-6-5-6-5671,J,3,#6]'</f>
        <v>0</v>
      </c>
      <c r="N229" s="74">
        <f>[1]!'@CTA[8-2-7-5-6-5671,F,3,#6]'</f>
        <v>0</v>
      </c>
      <c r="O229" s="66">
        <f t="shared" si="13"/>
        <v>0</v>
      </c>
    </row>
    <row r="230" spans="1:15" ht="12" x14ac:dyDescent="0.2">
      <c r="A230" s="67"/>
      <c r="B230" s="61"/>
      <c r="C230" s="61"/>
      <c r="D230" s="62"/>
      <c r="E230" s="71"/>
      <c r="F230" s="72">
        <v>5694</v>
      </c>
      <c r="G230" s="73" t="s">
        <v>114</v>
      </c>
      <c r="H230" s="74">
        <f>[1]!'@CTA[8-2-1-5-6-5694,F,3,#6]'</f>
        <v>0</v>
      </c>
      <c r="I230" s="74">
        <f>[1]!'@CTA[8-2-3-5-6-5694,F,3,#6]'</f>
        <v>0</v>
      </c>
      <c r="J230" s="75">
        <f>[1]!'@CTA[8-2-1-5-6-5694,F,3,#6]'+[1]!'@CTA[8-2-3-5-6-5694,F,3,#6]'</f>
        <v>0</v>
      </c>
      <c r="K230" s="76">
        <f>[1]!'@CTA[8-2-4-5-6-5694,J,3,#6]'</f>
        <v>0</v>
      </c>
      <c r="L230" s="76">
        <f>[1]!'@CTA[8-2-5-5-6-5694,J,3,#6]'</f>
        <v>0</v>
      </c>
      <c r="M230" s="76">
        <f>[1]!'@CTA[8-2-6-5-6-5694,J,3,#6]'</f>
        <v>0</v>
      </c>
      <c r="N230" s="74">
        <f>[1]!'@CTA[8-2-7-5-6-5694,F,3,#6]'</f>
        <v>0</v>
      </c>
      <c r="O230" s="66">
        <f t="shared" si="13"/>
        <v>0</v>
      </c>
    </row>
    <row r="231" spans="1:15" ht="108" x14ac:dyDescent="0.2">
      <c r="A231" s="67" t="s">
        <v>282</v>
      </c>
      <c r="B231" s="61" t="s">
        <v>152</v>
      </c>
      <c r="C231" s="61" t="s">
        <v>149</v>
      </c>
      <c r="D231" s="62" t="s">
        <v>283</v>
      </c>
      <c r="E231" s="71" t="s">
        <v>270</v>
      </c>
      <c r="F231" s="72">
        <v>5911</v>
      </c>
      <c r="G231" s="73" t="s">
        <v>271</v>
      </c>
      <c r="H231" s="74">
        <f>[1]!'@CTA[8-2-1-5-9-5911,F,3,#6]'</f>
        <v>0</v>
      </c>
      <c r="I231" s="74">
        <f>[1]!'@CTA[8-2-3-5-9-5911,F,3,#6]'</f>
        <v>0</v>
      </c>
      <c r="J231" s="75">
        <f>[1]!'@CTA[8-2-1-5-9-5911,F,3,#6]'+[1]!'@CTA[8-2-3-5-9-5911,F,3,#6]'</f>
        <v>0</v>
      </c>
      <c r="K231" s="76">
        <f>[1]!'@CTA[8-2-4-5-9-5911,J,3,#6]'</f>
        <v>0</v>
      </c>
      <c r="L231" s="76">
        <f>[1]!'@CTA[8-2-5-5-9-5911,J,3,#6]'</f>
        <v>0</v>
      </c>
      <c r="M231" s="76">
        <f>[1]!'@CTA[8-2-6-5-9-5911,J,3,#6]'</f>
        <v>0</v>
      </c>
      <c r="N231" s="74">
        <f>[1]!'@CTA[8-2-7-5-9-5911,F,3,#6]'</f>
        <v>0</v>
      </c>
      <c r="O231" s="66">
        <f t="shared" si="13"/>
        <v>0</v>
      </c>
    </row>
    <row r="232" spans="1:15" ht="108" x14ac:dyDescent="0.2">
      <c r="A232" s="67" t="s">
        <v>282</v>
      </c>
      <c r="B232" s="61"/>
      <c r="C232" s="61" t="s">
        <v>149</v>
      </c>
      <c r="D232" s="62" t="s">
        <v>283</v>
      </c>
      <c r="E232" s="61"/>
      <c r="F232" s="63">
        <v>6000</v>
      </c>
      <c r="G232" s="68" t="s">
        <v>274</v>
      </c>
      <c r="H232" s="69">
        <f t="shared" ref="H232:N232" si="15">SUBTOTAL(9,H233:H236)</f>
        <v>0</v>
      </c>
      <c r="I232" s="69">
        <f t="shared" si="15"/>
        <v>0</v>
      </c>
      <c r="J232" s="69">
        <f t="shared" si="15"/>
        <v>0</v>
      </c>
      <c r="K232" s="70">
        <f t="shared" si="15"/>
        <v>0</v>
      </c>
      <c r="L232" s="70">
        <f t="shared" si="15"/>
        <v>0</v>
      </c>
      <c r="M232" s="70">
        <f t="shared" si="15"/>
        <v>0</v>
      </c>
      <c r="N232" s="69">
        <f t="shared" si="15"/>
        <v>0</v>
      </c>
      <c r="O232" s="66">
        <f t="shared" si="13"/>
        <v>0</v>
      </c>
    </row>
    <row r="233" spans="1:15" ht="108" x14ac:dyDescent="0.2">
      <c r="A233" s="67" t="s">
        <v>282</v>
      </c>
      <c r="B233" s="61" t="s">
        <v>275</v>
      </c>
      <c r="C233" s="61" t="s">
        <v>149</v>
      </c>
      <c r="D233" s="62" t="s">
        <v>283</v>
      </c>
      <c r="E233" s="71" t="s">
        <v>276</v>
      </c>
      <c r="F233" s="72">
        <v>6131</v>
      </c>
      <c r="G233" s="78" t="s">
        <v>277</v>
      </c>
      <c r="H233" s="74">
        <f>[1]!'@CTA[8-2-1-6-1-6131,F,3,#6]'</f>
        <v>0</v>
      </c>
      <c r="I233" s="74">
        <f>[1]!'@CTA[8-2-3-6-1-6131,F,3,#6]'</f>
        <v>0</v>
      </c>
      <c r="J233" s="75">
        <f>[1]!'@CTA[8-2-1-6-1-6131,F,3,#6]'+[1]!'@CTA[8-2-3-6-1-6131,F,3,#6]'</f>
        <v>0</v>
      </c>
      <c r="K233" s="76">
        <f>[1]!'@CTA[8-2-4-6-1-6131,J,3,#6]'</f>
        <v>0</v>
      </c>
      <c r="L233" s="76">
        <f>[1]!'@CTA[8-2-5-6-1-6131,J,3,#6]'</f>
        <v>0</v>
      </c>
      <c r="M233" s="76">
        <f>[1]!'@CTA[8-2-6-6-1-6131,J,3,#6]'</f>
        <v>0</v>
      </c>
      <c r="N233" s="74">
        <f>[1]!'@CTA[8-2-7-6-1-6131,F,3,#6]'</f>
        <v>0</v>
      </c>
      <c r="O233" s="66">
        <f t="shared" si="13"/>
        <v>0</v>
      </c>
    </row>
    <row r="234" spans="1:15" ht="108" x14ac:dyDescent="0.2">
      <c r="A234" s="67" t="s">
        <v>282</v>
      </c>
      <c r="B234" s="61" t="s">
        <v>275</v>
      </c>
      <c r="C234" s="61" t="s">
        <v>149</v>
      </c>
      <c r="D234" s="62" t="s">
        <v>283</v>
      </c>
      <c r="E234" s="71" t="s">
        <v>276</v>
      </c>
      <c r="F234" s="72">
        <v>6161</v>
      </c>
      <c r="G234" s="78" t="s">
        <v>278</v>
      </c>
      <c r="H234" s="74">
        <f>[1]!'@CTA[8-2-1-6-1-6161,F,3,#6]'</f>
        <v>0</v>
      </c>
      <c r="I234" s="74">
        <f>[1]!'@CTA[8-2-3-6-1-6161,F,3,#6]'</f>
        <v>0</v>
      </c>
      <c r="J234" s="75">
        <f>[1]!'@CTA[8-2-1-6-1-6161,F,3,#6]'+[1]!'@CTA[8-2-3-6-1-6161,F,3,#6]'</f>
        <v>0</v>
      </c>
      <c r="K234" s="76">
        <f>[1]!'@CTA[8-2-4-6-1-6161,J,3,#6]'</f>
        <v>0</v>
      </c>
      <c r="L234" s="76">
        <f>[1]!'@CTA[8-2-5-6-1-6161,J,3,#6]'</f>
        <v>0</v>
      </c>
      <c r="M234" s="76">
        <f>[1]!'@CTA[8-2-6-6-1-6161,J,3,#6]'</f>
        <v>0</v>
      </c>
      <c r="N234" s="74">
        <f>[1]!'@CTA[8-2-7-6-1-6161,F,3,#6]'</f>
        <v>0</v>
      </c>
      <c r="O234" s="66">
        <f t="shared" si="13"/>
        <v>0</v>
      </c>
    </row>
    <row r="235" spans="1:15" ht="108" x14ac:dyDescent="0.2">
      <c r="A235" s="67" t="s">
        <v>282</v>
      </c>
      <c r="B235" s="61" t="s">
        <v>275</v>
      </c>
      <c r="C235" s="61" t="s">
        <v>149</v>
      </c>
      <c r="D235" s="62" t="s">
        <v>283</v>
      </c>
      <c r="E235" s="71" t="s">
        <v>276</v>
      </c>
      <c r="F235" s="72">
        <v>6162</v>
      </c>
      <c r="G235" s="78" t="s">
        <v>279</v>
      </c>
      <c r="H235" s="74">
        <f>[1]!'@CTA[8-2-1-6-1-6162,F,3,#6]'</f>
        <v>0</v>
      </c>
      <c r="I235" s="74">
        <f>[1]!'@CTA[8-2-3-6-1-6162,F,3,#6]'</f>
        <v>0</v>
      </c>
      <c r="J235" s="75">
        <f>[1]!'@CTA[8-2-1-6-1-6162,F,3,#6]'+[1]!'@CTA[8-2-3-6-1-6162,F,3,#6]'</f>
        <v>0</v>
      </c>
      <c r="K235" s="76">
        <f>[1]!'@CTA[8-2-4-6-1-6162,J,3,#6]'</f>
        <v>0</v>
      </c>
      <c r="L235" s="76">
        <f>[1]!'@CTA[8-2-5-6-1-6162,J,3,#6]'</f>
        <v>0</v>
      </c>
      <c r="M235" s="76">
        <f>[1]!'@CTA[8-2-6-6-1-6162,J,3,#6]'</f>
        <v>0</v>
      </c>
      <c r="N235" s="74">
        <f>[1]!'@CTA[8-2-7-6-1-6162,F,3,#6]'</f>
        <v>0</v>
      </c>
      <c r="O235" s="66">
        <f t="shared" si="13"/>
        <v>0</v>
      </c>
    </row>
    <row r="236" spans="1:15" ht="108" x14ac:dyDescent="0.2">
      <c r="A236" s="67" t="s">
        <v>282</v>
      </c>
      <c r="B236" s="61" t="s">
        <v>275</v>
      </c>
      <c r="C236" s="61" t="s">
        <v>149</v>
      </c>
      <c r="D236" s="62" t="s">
        <v>283</v>
      </c>
      <c r="E236" s="71" t="s">
        <v>276</v>
      </c>
      <c r="F236" s="72">
        <v>6171</v>
      </c>
      <c r="G236" s="78" t="s">
        <v>280</v>
      </c>
      <c r="H236" s="74">
        <f>[1]!'@CTA[8-2-1-6-1-6171,F,3,#6]'</f>
        <v>0</v>
      </c>
      <c r="I236" s="74">
        <f>[1]!'@CTA[8-2-3-6-1-6171,F,3,#6]'</f>
        <v>0</v>
      </c>
      <c r="J236" s="75">
        <f>[1]!'@CTA[8-2-1-6-1-6171,F,3,#6]'+[1]!'@CTA[8-2-3-6-1-6171,F,3,#6]'</f>
        <v>0</v>
      </c>
      <c r="K236" s="76">
        <f>[1]!'@CTA[8-2-4-6-1-6171,J,3,#6]'</f>
        <v>0</v>
      </c>
      <c r="L236" s="76">
        <f>[1]!'@CTA[8-2-5-6-1-6171,J,3,#6]'</f>
        <v>0</v>
      </c>
      <c r="M236" s="76">
        <f>[1]!'@CTA[8-2-6-6-1-6171,J,3,#6]'</f>
        <v>0</v>
      </c>
      <c r="N236" s="74">
        <f>[1]!'@CTA[8-2-7-6-1-6171,F,3,#6]'</f>
        <v>0</v>
      </c>
      <c r="O236" s="66">
        <f t="shared" si="13"/>
        <v>0</v>
      </c>
    </row>
    <row r="237" spans="1:15" ht="12" x14ac:dyDescent="0.2">
      <c r="A237" s="60"/>
      <c r="B237" s="61"/>
      <c r="C237" s="61"/>
      <c r="D237" s="62"/>
      <c r="E237" s="61"/>
      <c r="F237" s="63"/>
      <c r="G237" s="64" t="s">
        <v>285</v>
      </c>
      <c r="H237" s="65">
        <f t="shared" ref="H237:N237" si="16">SUBTOTAL(9,H238:H351)</f>
        <v>1832177</v>
      </c>
      <c r="I237" s="65">
        <f t="shared" si="16"/>
        <v>26041.86</v>
      </c>
      <c r="J237" s="65">
        <f t="shared" si="16"/>
        <v>1858218.8599999999</v>
      </c>
      <c r="K237" s="65">
        <f t="shared" si="16"/>
        <v>411859.82999999996</v>
      </c>
      <c r="L237" s="65">
        <f t="shared" si="16"/>
        <v>411859.82999999996</v>
      </c>
      <c r="M237" s="65">
        <f t="shared" si="16"/>
        <v>411859.82999999996</v>
      </c>
      <c r="N237" s="65">
        <f t="shared" si="16"/>
        <v>382166.29</v>
      </c>
      <c r="O237" s="66">
        <f t="shared" si="13"/>
        <v>1446359.0299999998</v>
      </c>
    </row>
    <row r="238" spans="1:15" ht="108" x14ac:dyDescent="0.2">
      <c r="A238" s="67" t="s">
        <v>286</v>
      </c>
      <c r="B238" s="61"/>
      <c r="C238" s="61" t="s">
        <v>149</v>
      </c>
      <c r="D238" s="62" t="s">
        <v>287</v>
      </c>
      <c r="E238" s="61"/>
      <c r="F238" s="63">
        <v>1000</v>
      </c>
      <c r="G238" s="68" t="s">
        <v>151</v>
      </c>
      <c r="H238" s="69">
        <f t="shared" ref="H238:N238" si="17">SUBTOTAL(9,H239:H257)</f>
        <v>1270730</v>
      </c>
      <c r="I238" s="69">
        <f t="shared" si="17"/>
        <v>23299.989999999998</v>
      </c>
      <c r="J238" s="69">
        <f t="shared" si="17"/>
        <v>1294029.99</v>
      </c>
      <c r="K238" s="70">
        <f t="shared" si="17"/>
        <v>295182.21000000002</v>
      </c>
      <c r="L238" s="70">
        <f t="shared" si="17"/>
        <v>295182.21000000002</v>
      </c>
      <c r="M238" s="70">
        <f t="shared" si="17"/>
        <v>295182.21000000002</v>
      </c>
      <c r="N238" s="69">
        <f t="shared" si="17"/>
        <v>267363.39999999997</v>
      </c>
      <c r="O238" s="66">
        <f t="shared" si="13"/>
        <v>998847.78</v>
      </c>
    </row>
    <row r="239" spans="1:15" ht="108" x14ac:dyDescent="0.2">
      <c r="A239" s="67" t="s">
        <v>286</v>
      </c>
      <c r="B239" s="61" t="s">
        <v>152</v>
      </c>
      <c r="C239" s="61" t="s">
        <v>149</v>
      </c>
      <c r="D239" s="62" t="s">
        <v>287</v>
      </c>
      <c r="E239" s="71" t="s">
        <v>153</v>
      </c>
      <c r="F239" s="72">
        <v>1131</v>
      </c>
      <c r="G239" s="73" t="s">
        <v>154</v>
      </c>
      <c r="H239" s="74">
        <f>[1]!'@CTA[8-2-1-1-1-1131,F,4,#6]'</f>
        <v>765036</v>
      </c>
      <c r="I239" s="74">
        <f>[1]!'@CTA[8-2-3-1-1-1131,F,4,#6]'</f>
        <v>0</v>
      </c>
      <c r="J239" s="75">
        <f>[1]!'@CTA[8-2-1-1-1-1131,F,4,#6]'+[1]!'@CTA[8-2-3-1-1-1131,F,4,#6]'</f>
        <v>765036</v>
      </c>
      <c r="K239" s="76">
        <f>[1]!'@CTA[8-2-4-1-1-1131,J,4,#6]'</f>
        <v>190840.44</v>
      </c>
      <c r="L239" s="76">
        <f>[1]!'@CTA[8-2-5-1-1-1131,J,4,#6]'</f>
        <v>190840.44</v>
      </c>
      <c r="M239" s="76">
        <f>[1]!'@CTA[8-2-6-1-1-1131,J,4,#6]'</f>
        <v>190840.44</v>
      </c>
      <c r="N239" s="74">
        <f>[1]!'@CTA[8-2-7-1-1-1131,F,4,#6]'</f>
        <v>176168.51</v>
      </c>
      <c r="O239" s="66">
        <f t="shared" si="13"/>
        <v>574195.56000000006</v>
      </c>
    </row>
    <row r="240" spans="1:15" ht="108" x14ac:dyDescent="0.2">
      <c r="A240" s="67" t="s">
        <v>286</v>
      </c>
      <c r="B240" s="61" t="s">
        <v>152</v>
      </c>
      <c r="C240" s="61" t="s">
        <v>149</v>
      </c>
      <c r="D240" s="62" t="s">
        <v>287</v>
      </c>
      <c r="E240" s="71" t="s">
        <v>153</v>
      </c>
      <c r="F240" s="72">
        <v>1211</v>
      </c>
      <c r="G240" s="73" t="s">
        <v>156</v>
      </c>
      <c r="H240" s="74">
        <f>[1]!'@CTA[8-2-1-1-2-1211,F,4,#6]'</f>
        <v>0</v>
      </c>
      <c r="I240" s="74">
        <f>[1]!'@CTA[8-2-3-1-2-1211,F,4,#6]'</f>
        <v>0</v>
      </c>
      <c r="J240" s="75">
        <f>[1]!'@CTA[8-2-1-1-2-1211,F,4,#6]'+[1]!'@CTA[8-2-3-1-2-1211,F,4,#6]'</f>
        <v>0</v>
      </c>
      <c r="K240" s="76">
        <f>[1]!'@CTA[8-2-4-1-2-1211,J,4,#6]'</f>
        <v>0</v>
      </c>
      <c r="L240" s="76">
        <f>[1]!'@CTA[8-2-5-1-2-1211,J,4,#6]'</f>
        <v>0</v>
      </c>
      <c r="M240" s="76">
        <f>[1]!'@CTA[8-2-6-1-2-1211,J,4,#6]'</f>
        <v>0</v>
      </c>
      <c r="N240" s="74">
        <f>[1]!'@CTA[8-2-7-1-2-1211,F,4,#6]'</f>
        <v>0</v>
      </c>
      <c r="O240" s="66">
        <f t="shared" si="13"/>
        <v>0</v>
      </c>
    </row>
    <row r="241" spans="1:15" ht="108" x14ac:dyDescent="0.2">
      <c r="A241" s="67" t="s">
        <v>286</v>
      </c>
      <c r="B241" s="61" t="s">
        <v>152</v>
      </c>
      <c r="C241" s="61" t="s">
        <v>149</v>
      </c>
      <c r="D241" s="62" t="s">
        <v>287</v>
      </c>
      <c r="E241" s="71" t="s">
        <v>153</v>
      </c>
      <c r="F241" s="72">
        <v>1221</v>
      </c>
      <c r="G241" s="73" t="s">
        <v>155</v>
      </c>
      <c r="H241" s="74">
        <f>[1]!'@CTA[8-2-1-1-2-1221,F,4,#6]'</f>
        <v>0</v>
      </c>
      <c r="I241" s="74">
        <f>[1]!'@CTA[8-2-3-1-2-1221,F,4,#6]'</f>
        <v>0</v>
      </c>
      <c r="J241" s="75">
        <f>[1]!'@CTA[8-2-1-1-2-1221,F,4,#6]'+[1]!'@CTA[8-2-3-1-2-1221,F,4,#6]'</f>
        <v>0</v>
      </c>
      <c r="K241" s="76">
        <f>[1]!'@CTA[8-2-4-1-2-1221,J,4,#6]'</f>
        <v>0</v>
      </c>
      <c r="L241" s="76">
        <f>[1]!'@CTA[8-2-5-1-2-1221,J,4,#6]'</f>
        <v>0</v>
      </c>
      <c r="M241" s="76">
        <f>[1]!'@CTA[8-2-6-1-2-1221,J,4,#6]'</f>
        <v>0</v>
      </c>
      <c r="N241" s="74">
        <f>[1]!'@CTA[8-2-7-1-2-1221,F,4,#6]'</f>
        <v>0</v>
      </c>
      <c r="O241" s="66">
        <f t="shared" si="13"/>
        <v>0</v>
      </c>
    </row>
    <row r="242" spans="1:15" ht="108" x14ac:dyDescent="0.2">
      <c r="A242" s="67" t="s">
        <v>286</v>
      </c>
      <c r="B242" s="61" t="s">
        <v>152</v>
      </c>
      <c r="C242" s="61" t="s">
        <v>149</v>
      </c>
      <c r="D242" s="62" t="s">
        <v>287</v>
      </c>
      <c r="E242" s="71" t="s">
        <v>153</v>
      </c>
      <c r="F242" s="72">
        <v>1311</v>
      </c>
      <c r="G242" s="73" t="s">
        <v>157</v>
      </c>
      <c r="H242" s="74">
        <f>[1]!'@CTA[8-2-1-1-3-1311,F,4,#6]'</f>
        <v>0</v>
      </c>
      <c r="I242" s="74">
        <f>[1]!'@CTA[8-2-3-1-3-1311,F,4,#6]'</f>
        <v>0</v>
      </c>
      <c r="J242" s="75">
        <f>[1]!'@CTA[8-2-1-1-3-1311,F,4,#6]'+[1]!'@CTA[8-2-3-1-3-1311,F,4,#6]'</f>
        <v>0</v>
      </c>
      <c r="K242" s="76">
        <f>[1]!'@CTA[8-2-4-1-3-1311,J,4,#6]'</f>
        <v>0</v>
      </c>
      <c r="L242" s="76">
        <f>[1]!'@CTA[8-2-5-1-3-1311,J,4,#6]'</f>
        <v>0</v>
      </c>
      <c r="M242" s="76">
        <f>[1]!'@CTA[8-2-6-1-3-1311,J,4,#6]'</f>
        <v>0</v>
      </c>
      <c r="N242" s="74">
        <f>[1]!'@CTA[8-2-7-1-3-1311,F,4,#6]'</f>
        <v>0</v>
      </c>
      <c r="O242" s="66">
        <f t="shared" si="13"/>
        <v>0</v>
      </c>
    </row>
    <row r="243" spans="1:15" ht="108" x14ac:dyDescent="0.2">
      <c r="A243" s="67" t="s">
        <v>286</v>
      </c>
      <c r="B243" s="61" t="s">
        <v>152</v>
      </c>
      <c r="C243" s="61" t="s">
        <v>149</v>
      </c>
      <c r="D243" s="62" t="s">
        <v>287</v>
      </c>
      <c r="E243" s="71" t="s">
        <v>153</v>
      </c>
      <c r="F243" s="72">
        <v>1321</v>
      </c>
      <c r="G243" s="73" t="s">
        <v>158</v>
      </c>
      <c r="H243" s="74">
        <f>[1]!'@CTA[8-2-1-1-3-1321,F,4,#6]'</f>
        <v>0</v>
      </c>
      <c r="I243" s="74">
        <f>[1]!'@CTA[8-2-3-1-3-1321,F,4,#6]'</f>
        <v>0</v>
      </c>
      <c r="J243" s="75">
        <f>[1]!'@CTA[8-2-1-1-3-1321,F,4,#6]'+[1]!'@CTA[8-2-3-1-3-1321,F,4,#6]'</f>
        <v>0</v>
      </c>
      <c r="K243" s="76">
        <f>[1]!'@CTA[8-2-4-1-3-1321,J,4,#6]'</f>
        <v>0</v>
      </c>
      <c r="L243" s="76">
        <f>[1]!'@CTA[8-2-5-1-3-1321,J,4,#6]'</f>
        <v>0</v>
      </c>
      <c r="M243" s="76">
        <f>[1]!'@CTA[8-2-6-1-3-1321,J,4,#6]'</f>
        <v>0</v>
      </c>
      <c r="N243" s="74">
        <f>[1]!'@CTA[8-2-7-1-3-1321,F,4,#6]'</f>
        <v>0</v>
      </c>
      <c r="O243" s="66">
        <f t="shared" si="13"/>
        <v>0</v>
      </c>
    </row>
    <row r="244" spans="1:15" ht="108" x14ac:dyDescent="0.2">
      <c r="A244" s="67" t="s">
        <v>286</v>
      </c>
      <c r="B244" s="61" t="s">
        <v>152</v>
      </c>
      <c r="C244" s="61" t="s">
        <v>149</v>
      </c>
      <c r="D244" s="62" t="s">
        <v>287</v>
      </c>
      <c r="E244" s="71" t="s">
        <v>153</v>
      </c>
      <c r="F244" s="72">
        <v>1322</v>
      </c>
      <c r="G244" s="73" t="s">
        <v>159</v>
      </c>
      <c r="H244" s="74">
        <f>[1]!'@CTA[8-2-1-1-3-1322,F,4,#6]'</f>
        <v>24822</v>
      </c>
      <c r="I244" s="74">
        <f>[1]!'@CTA[8-2-3-1-3-1322,F,4,#6]'</f>
        <v>0</v>
      </c>
      <c r="J244" s="75">
        <f>[1]!'@CTA[8-2-1-1-3-1322,F,4,#6]'+[1]!'@CTA[8-2-3-1-3-1322,F,4,#6]'</f>
        <v>24822</v>
      </c>
      <c r="K244" s="76">
        <f>[1]!'@CTA[8-2-4-1-3-1322,J,4,#6]'</f>
        <v>3847.38</v>
      </c>
      <c r="L244" s="76">
        <f>[1]!'@CTA[8-2-5-1-3-1322,J,4,#6]'</f>
        <v>3847.38</v>
      </c>
      <c r="M244" s="76">
        <f>[1]!'@CTA[8-2-6-1-3-1322,J,4,#6]'</f>
        <v>3847.38</v>
      </c>
      <c r="N244" s="74">
        <f>[1]!'@CTA[8-2-7-1-3-1322,F,4,#6]'</f>
        <v>3847.38</v>
      </c>
      <c r="O244" s="66">
        <f t="shared" si="13"/>
        <v>20974.62</v>
      </c>
    </row>
    <row r="245" spans="1:15" ht="108" x14ac:dyDescent="0.2">
      <c r="A245" s="67" t="s">
        <v>286</v>
      </c>
      <c r="B245" s="61" t="s">
        <v>152</v>
      </c>
      <c r="C245" s="61" t="s">
        <v>149</v>
      </c>
      <c r="D245" s="62" t="s">
        <v>287</v>
      </c>
      <c r="E245" s="71" t="s">
        <v>153</v>
      </c>
      <c r="F245" s="72">
        <v>1323</v>
      </c>
      <c r="G245" s="73" t="s">
        <v>160</v>
      </c>
      <c r="H245" s="74">
        <f>[1]!'@CTA[8-2-1-1-3-1323,F,4,#6]'</f>
        <v>88032</v>
      </c>
      <c r="I245" s="74">
        <f>[1]!'@CTA[8-2-3-1-3-1323,F,4,#6]'</f>
        <v>0</v>
      </c>
      <c r="J245" s="75">
        <f>[1]!'@CTA[8-2-1-1-3-1323,F,4,#6]'+[1]!'@CTA[8-2-3-1-3-1323,F,4,#6]'</f>
        <v>88032</v>
      </c>
      <c r="K245" s="76">
        <f>[1]!'@CTA[8-2-4-1-3-1323,J,4,#6]'</f>
        <v>0</v>
      </c>
      <c r="L245" s="76">
        <f>[1]!'@CTA[8-2-5-1-3-1323,J,4,#6]'</f>
        <v>0</v>
      </c>
      <c r="M245" s="76">
        <f>[1]!'@CTA[8-2-6-1-3-1323,J,4,#6]'</f>
        <v>0</v>
      </c>
      <c r="N245" s="74">
        <f>[1]!'@CTA[8-2-7-1-3-1323,F,4,#6]'</f>
        <v>0</v>
      </c>
      <c r="O245" s="66">
        <f t="shared" si="13"/>
        <v>88032</v>
      </c>
    </row>
    <row r="246" spans="1:15" ht="108" x14ac:dyDescent="0.2">
      <c r="A246" s="67" t="s">
        <v>286</v>
      </c>
      <c r="B246" s="61" t="s">
        <v>152</v>
      </c>
      <c r="C246" s="61" t="s">
        <v>149</v>
      </c>
      <c r="D246" s="62" t="s">
        <v>287</v>
      </c>
      <c r="E246" s="71" t="s">
        <v>153</v>
      </c>
      <c r="F246" s="72">
        <v>1331</v>
      </c>
      <c r="G246" s="73" t="s">
        <v>161</v>
      </c>
      <c r="H246" s="74">
        <f>[1]!'@CTA[8-2-1-1-3-1331,F,4,#6]'</f>
        <v>0</v>
      </c>
      <c r="I246" s="74">
        <f>[1]!'@CTA[8-2-3-1-3-1331,F,4,#6]'</f>
        <v>0</v>
      </c>
      <c r="J246" s="75">
        <f>[1]!'@CTA[8-2-1-1-3-1331,F,4,#6]'+[1]!'@CTA[8-2-3-1-3-1331,F,4,#6]'</f>
        <v>0</v>
      </c>
      <c r="K246" s="76">
        <f>[1]!'@CTA[8-2-4-1-3-1331,J,4,#6]'</f>
        <v>0</v>
      </c>
      <c r="L246" s="76">
        <f>[1]!'@CTA[8-2-5-1-3-1331,J,4,#6]'</f>
        <v>0</v>
      </c>
      <c r="M246" s="76">
        <f>[1]!'@CTA[8-2-6-1-3-1331,J,4,#6]'</f>
        <v>0</v>
      </c>
      <c r="N246" s="74">
        <f>[1]!'@CTA[8-2-7-1-3-1331,F,4,#6]'</f>
        <v>0</v>
      </c>
      <c r="O246" s="66">
        <f t="shared" si="13"/>
        <v>0</v>
      </c>
    </row>
    <row r="247" spans="1:15" ht="108" x14ac:dyDescent="0.2">
      <c r="A247" s="67" t="s">
        <v>286</v>
      </c>
      <c r="B247" s="61" t="s">
        <v>152</v>
      </c>
      <c r="C247" s="61" t="s">
        <v>149</v>
      </c>
      <c r="D247" s="62" t="s">
        <v>287</v>
      </c>
      <c r="E247" s="71" t="s">
        <v>153</v>
      </c>
      <c r="F247" s="72">
        <v>1341</v>
      </c>
      <c r="G247" s="73" t="s">
        <v>162</v>
      </c>
      <c r="H247" s="74">
        <f>[1]!'@CTA[8-2-1-1-3-1341,F,4,#6]'</f>
        <v>16239</v>
      </c>
      <c r="I247" s="74">
        <f>[1]!'@CTA[8-2-3-1-3-1341,F,4,#6]'</f>
        <v>0</v>
      </c>
      <c r="J247" s="75">
        <f>[1]!'@CTA[8-2-1-1-3-1341,F,4,#6]'+[1]!'@CTA[8-2-3-1-3-1341,F,4,#6]'</f>
        <v>16239</v>
      </c>
      <c r="K247" s="76">
        <f>[1]!'@CTA[8-2-4-1-3-1341,J,4,#6]'</f>
        <v>0</v>
      </c>
      <c r="L247" s="76">
        <f>[1]!'@CTA[8-2-5-1-3-1341,J,4,#6]'</f>
        <v>0</v>
      </c>
      <c r="M247" s="76">
        <f>[1]!'@CTA[8-2-6-1-3-1341,J,4,#6]'</f>
        <v>0</v>
      </c>
      <c r="N247" s="74">
        <f>[1]!'@CTA[8-2-7-1-3-1341,F,4,#6]'</f>
        <v>0</v>
      </c>
      <c r="O247" s="66">
        <f t="shared" si="13"/>
        <v>16239</v>
      </c>
    </row>
    <row r="248" spans="1:15" ht="108" x14ac:dyDescent="0.2">
      <c r="A248" s="67" t="s">
        <v>286</v>
      </c>
      <c r="B248" s="61" t="s">
        <v>163</v>
      </c>
      <c r="C248" s="61" t="s">
        <v>149</v>
      </c>
      <c r="D248" s="62" t="s">
        <v>287</v>
      </c>
      <c r="E248" s="71" t="s">
        <v>164</v>
      </c>
      <c r="F248" s="72">
        <v>1411</v>
      </c>
      <c r="G248" s="73" t="s">
        <v>165</v>
      </c>
      <c r="H248" s="74">
        <f>[1]!'@CTA[8-2-1-1-4-1411,F,4,#6]'</f>
        <v>86902</v>
      </c>
      <c r="I248" s="74">
        <f>[1]!'@CTA[8-2-3-1-4-1411,F,4,#6]'</f>
        <v>7666.39</v>
      </c>
      <c r="J248" s="75">
        <f>[1]!'@CTA[8-2-1-1-4-1411,F,4,#6]'+[1]!'@CTA[8-2-3-1-4-1411,F,4,#6]'</f>
        <v>94568.39</v>
      </c>
      <c r="K248" s="76">
        <f>[1]!'@CTA[8-2-4-1-4-1411,J,4,#6]'</f>
        <v>23961.38</v>
      </c>
      <c r="L248" s="76">
        <f>[1]!'@CTA[8-2-5-1-4-1411,J,4,#6]'</f>
        <v>23961.38</v>
      </c>
      <c r="M248" s="76">
        <f>[1]!'@CTA[8-2-6-1-4-1411,J,4,#6]'</f>
        <v>23961.38</v>
      </c>
      <c r="N248" s="74">
        <f>[1]!'@CTA[8-2-7-1-4-1411,F,4,#6]'</f>
        <v>16018.990000000009</v>
      </c>
      <c r="O248" s="66">
        <f t="shared" si="13"/>
        <v>70607.009999999995</v>
      </c>
    </row>
    <row r="249" spans="1:15" ht="108" x14ac:dyDescent="0.2">
      <c r="A249" s="67" t="s">
        <v>286</v>
      </c>
      <c r="B249" s="61" t="s">
        <v>163</v>
      </c>
      <c r="C249" s="61" t="s">
        <v>149</v>
      </c>
      <c r="D249" s="62" t="s">
        <v>287</v>
      </c>
      <c r="E249" s="71" t="s">
        <v>164</v>
      </c>
      <c r="F249" s="72">
        <v>1421</v>
      </c>
      <c r="G249" s="73" t="s">
        <v>166</v>
      </c>
      <c r="H249" s="74">
        <f>[1]!'@CTA[8-2-1-1-4-1421,F,4,#6]'</f>
        <v>43360</v>
      </c>
      <c r="I249" s="74">
        <f>[1]!'@CTA[8-2-3-1-4-1421,F,4,#6]'</f>
        <v>7701.28</v>
      </c>
      <c r="J249" s="75">
        <f>[1]!'@CTA[8-2-1-1-4-1421,F,4,#6]'+[1]!'@CTA[8-2-3-1-4-1421,F,4,#6]'</f>
        <v>51061.279999999999</v>
      </c>
      <c r="K249" s="76">
        <f>[1]!'@CTA[8-2-4-1-4-1421,J,4,#6]'</f>
        <v>8511.6299999999992</v>
      </c>
      <c r="L249" s="76">
        <f>[1]!'@CTA[8-2-5-1-4-1421,J,4,#6]'</f>
        <v>8511.6299999999992</v>
      </c>
      <c r="M249" s="76">
        <f>[1]!'@CTA[8-2-6-1-4-1421,J,4,#6]'</f>
        <v>8511.6299999999992</v>
      </c>
      <c r="N249" s="74">
        <f>[1]!'@CTA[8-2-7-1-4-1421,F,4,#6]'</f>
        <v>8511.6300000000028</v>
      </c>
      <c r="O249" s="66">
        <f t="shared" si="13"/>
        <v>42549.65</v>
      </c>
    </row>
    <row r="250" spans="1:15" ht="108" x14ac:dyDescent="0.2">
      <c r="A250" s="67" t="s">
        <v>286</v>
      </c>
      <c r="B250" s="61" t="s">
        <v>163</v>
      </c>
      <c r="C250" s="61" t="s">
        <v>149</v>
      </c>
      <c r="D250" s="62" t="s">
        <v>287</v>
      </c>
      <c r="E250" s="71" t="s">
        <v>164</v>
      </c>
      <c r="F250" s="72">
        <v>1431</v>
      </c>
      <c r="G250" s="73" t="s">
        <v>167</v>
      </c>
      <c r="H250" s="74">
        <f>[1]!'@CTA[8-2-1-1-4-1431,F,4,#6]'</f>
        <v>44661</v>
      </c>
      <c r="I250" s="74">
        <f>[1]!'@CTA[8-2-3-1-4-1431,F,4,#6]'</f>
        <v>7932.32</v>
      </c>
      <c r="J250" s="75">
        <f>[1]!'@CTA[8-2-1-1-4-1431,F,4,#6]'+[1]!'@CTA[8-2-3-1-4-1431,F,4,#6]'</f>
        <v>52593.32</v>
      </c>
      <c r="K250" s="76">
        <f>[1]!'@CTA[8-2-4-1-4-1431,J,4,#6]'</f>
        <v>8766.99</v>
      </c>
      <c r="L250" s="76">
        <f>[1]!'@CTA[8-2-5-1-4-1431,J,4,#6]'</f>
        <v>8766.99</v>
      </c>
      <c r="M250" s="76">
        <f>[1]!'@CTA[8-2-6-1-4-1431,J,4,#6]'</f>
        <v>8766.99</v>
      </c>
      <c r="N250" s="74">
        <f>[1]!'@CTA[8-2-7-1-4-1431,F,4,#6]'</f>
        <v>8766.9899999999925</v>
      </c>
      <c r="O250" s="66">
        <f t="shared" si="13"/>
        <v>43826.33</v>
      </c>
    </row>
    <row r="251" spans="1:15" ht="108" x14ac:dyDescent="0.2">
      <c r="A251" s="67" t="s">
        <v>286</v>
      </c>
      <c r="B251" s="61" t="s">
        <v>163</v>
      </c>
      <c r="C251" s="61" t="s">
        <v>149</v>
      </c>
      <c r="D251" s="62" t="s">
        <v>287</v>
      </c>
      <c r="E251" s="71" t="s">
        <v>164</v>
      </c>
      <c r="F251" s="72">
        <v>1441</v>
      </c>
      <c r="G251" s="73" t="s">
        <v>168</v>
      </c>
      <c r="H251" s="74">
        <f>[1]!'@CTA[8-2-1-1-4-1441,F,4,#6]'</f>
        <v>3285</v>
      </c>
      <c r="I251" s="74">
        <f>[1]!'@CTA[8-2-3-1-4-1441,F,4,#6]'</f>
        <v>0</v>
      </c>
      <c r="J251" s="75">
        <f>[1]!'@CTA[8-2-1-1-4-1441,F,4,#6]'+[1]!'@CTA[8-2-3-1-4-1441,F,4,#6]'</f>
        <v>3285</v>
      </c>
      <c r="K251" s="76">
        <f>[1]!'@CTA[8-2-4-1-4-1441,J,4,#6]'</f>
        <v>779.99</v>
      </c>
      <c r="L251" s="76">
        <f>[1]!'@CTA[8-2-5-1-4-1441,J,4,#6]'</f>
        <v>779.99</v>
      </c>
      <c r="M251" s="76">
        <f>[1]!'@CTA[8-2-6-1-4-1441,J,4,#6]'</f>
        <v>779.99</v>
      </c>
      <c r="N251" s="74">
        <f>[1]!'@CTA[8-2-7-1-4-1441,F,4,#6]'</f>
        <v>779.99</v>
      </c>
      <c r="O251" s="66">
        <f t="shared" si="13"/>
        <v>2505.0100000000002</v>
      </c>
    </row>
    <row r="252" spans="1:15" ht="108" x14ac:dyDescent="0.2">
      <c r="A252" s="67" t="s">
        <v>286</v>
      </c>
      <c r="B252" s="61" t="s">
        <v>169</v>
      </c>
      <c r="C252" s="61" t="s">
        <v>149</v>
      </c>
      <c r="D252" s="62" t="s">
        <v>287</v>
      </c>
      <c r="E252" s="71" t="s">
        <v>153</v>
      </c>
      <c r="F252" s="72">
        <v>1521</v>
      </c>
      <c r="G252" s="73" t="s">
        <v>170</v>
      </c>
      <c r="H252" s="74">
        <f>[1]!'@CTA[8-2-1-1-5-1521,F,4,#6]'</f>
        <v>0</v>
      </c>
      <c r="I252" s="74">
        <f>[1]!'@CTA[8-2-3-1-5-1521,F,4,#6]'</f>
        <v>0</v>
      </c>
      <c r="J252" s="75">
        <f>[1]!'@CTA[8-2-1-1-5-1521,F,4,#6]'+[1]!'@CTA[8-2-3-1-5-1521,F,4,#6]'</f>
        <v>0</v>
      </c>
      <c r="K252" s="76">
        <f>[1]!'@CTA[8-2-4-1-5-1521,J,4,#6]'</f>
        <v>0</v>
      </c>
      <c r="L252" s="76">
        <f>[1]!'@CTA[8-2-5-1-5-1521,J,4,#6]'</f>
        <v>0</v>
      </c>
      <c r="M252" s="76">
        <f>[1]!'@CTA[8-2-6-1-5-1521,J,4,#6]'</f>
        <v>0</v>
      </c>
      <c r="N252" s="74">
        <f>[1]!'@CTA[8-2-7-1-5-1521,F,4,#6]'</f>
        <v>0</v>
      </c>
      <c r="O252" s="66">
        <f t="shared" si="13"/>
        <v>0</v>
      </c>
    </row>
    <row r="253" spans="1:15" ht="108" x14ac:dyDescent="0.2">
      <c r="A253" s="67" t="s">
        <v>286</v>
      </c>
      <c r="B253" s="61" t="s">
        <v>152</v>
      </c>
      <c r="C253" s="61" t="s">
        <v>149</v>
      </c>
      <c r="D253" s="62" t="s">
        <v>287</v>
      </c>
      <c r="E253" s="71" t="s">
        <v>153</v>
      </c>
      <c r="F253" s="72">
        <v>1522</v>
      </c>
      <c r="G253" s="73" t="s">
        <v>171</v>
      </c>
      <c r="H253" s="74">
        <f>[1]!'@CTA[8-2-1-1-5-1522,F,4,#6]'</f>
        <v>0</v>
      </c>
      <c r="I253" s="74">
        <f>[1]!'@CTA[8-2-3-1-5-1522,F,4,#6]'</f>
        <v>0</v>
      </c>
      <c r="J253" s="75">
        <f>[1]!'@CTA[8-2-1-1-5-1522,F,4,#6]'+[1]!'@CTA[8-2-3-1-5-1522,F,4,#6]'</f>
        <v>0</v>
      </c>
      <c r="K253" s="76">
        <f>[1]!'@CTA[8-2-4-1-5-1522,J,4,#6]'</f>
        <v>0</v>
      </c>
      <c r="L253" s="76">
        <f>[1]!'@CTA[8-2-5-1-5-1522,J,4,#6]'</f>
        <v>0</v>
      </c>
      <c r="M253" s="76">
        <f>[1]!'@CTA[8-2-6-1-5-1522,J,4,#6]'</f>
        <v>0</v>
      </c>
      <c r="N253" s="74">
        <f>[1]!'@CTA[8-2-7-1-5-1522,F,4,#6]'</f>
        <v>0</v>
      </c>
      <c r="O253" s="66">
        <f t="shared" si="13"/>
        <v>0</v>
      </c>
    </row>
    <row r="254" spans="1:15" ht="108" x14ac:dyDescent="0.2">
      <c r="A254" s="67" t="s">
        <v>286</v>
      </c>
      <c r="B254" s="61" t="s">
        <v>152</v>
      </c>
      <c r="C254" s="61" t="s">
        <v>149</v>
      </c>
      <c r="D254" s="62" t="s">
        <v>287</v>
      </c>
      <c r="E254" s="71" t="s">
        <v>153</v>
      </c>
      <c r="F254" s="72">
        <v>1541</v>
      </c>
      <c r="G254" s="73" t="s">
        <v>172</v>
      </c>
      <c r="H254" s="74">
        <f>[1]!'@CTA[8-2-1-1-5-1541,F,4,#6]'</f>
        <v>152923</v>
      </c>
      <c r="I254" s="74">
        <f>[1]!'@CTA[8-2-3-1-5-1541,F,4,#6]'</f>
        <v>0</v>
      </c>
      <c r="J254" s="75">
        <f>[1]!'@CTA[8-2-1-1-5-1541,F,4,#6]'+[1]!'@CTA[8-2-3-1-5-1541,F,4,#6]'</f>
        <v>152923</v>
      </c>
      <c r="K254" s="76">
        <f>[1]!'@CTA[8-2-4-1-5-1541,J,4,#6]'</f>
        <v>42053.97</v>
      </c>
      <c r="L254" s="76">
        <f>[1]!'@CTA[8-2-5-1-5-1541,J,4,#6]'</f>
        <v>42053.97</v>
      </c>
      <c r="M254" s="76">
        <f>[1]!'@CTA[8-2-6-1-5-1541,J,4,#6]'</f>
        <v>42053.97</v>
      </c>
      <c r="N254" s="74">
        <f>[1]!'@CTA[8-2-7-1-5-1541,F,4,#6]'</f>
        <v>42053.969999999972</v>
      </c>
      <c r="O254" s="66">
        <f t="shared" si="13"/>
        <v>110869.03</v>
      </c>
    </row>
    <row r="255" spans="1:15" ht="108" x14ac:dyDescent="0.2">
      <c r="A255" s="67" t="s">
        <v>286</v>
      </c>
      <c r="B255" s="61" t="s">
        <v>152</v>
      </c>
      <c r="C255" s="61" t="s">
        <v>149</v>
      </c>
      <c r="D255" s="62" t="s">
        <v>287</v>
      </c>
      <c r="E255" s="71" t="s">
        <v>153</v>
      </c>
      <c r="F255" s="72">
        <v>1542</v>
      </c>
      <c r="G255" s="73" t="s">
        <v>173</v>
      </c>
      <c r="H255" s="74">
        <f>[1]!'@CTA[8-2-1-1-5-1542,F,4,#6]'</f>
        <v>45470</v>
      </c>
      <c r="I255" s="74">
        <f>[1]!'@CTA[8-2-3-1-5-1542,F,4,#6]'</f>
        <v>0</v>
      </c>
      <c r="J255" s="75">
        <f>[1]!'@CTA[8-2-1-1-5-1542,F,4,#6]'+[1]!'@CTA[8-2-3-1-5-1542,F,4,#6]'</f>
        <v>45470</v>
      </c>
      <c r="K255" s="76">
        <f>[1]!'@CTA[8-2-4-1-5-1542,J,4,#6]'</f>
        <v>16420.43</v>
      </c>
      <c r="L255" s="76">
        <f>[1]!'@CTA[8-2-5-1-5-1542,J,4,#6]'</f>
        <v>16420.43</v>
      </c>
      <c r="M255" s="76">
        <f>[1]!'@CTA[8-2-6-1-5-1542,J,4,#6]'</f>
        <v>16420.43</v>
      </c>
      <c r="N255" s="74">
        <f>[1]!'@CTA[8-2-7-1-5-1542,F,4,#6]'</f>
        <v>11215.939999999999</v>
      </c>
      <c r="O255" s="66">
        <f t="shared" si="13"/>
        <v>29049.57</v>
      </c>
    </row>
    <row r="256" spans="1:15" ht="108" x14ac:dyDescent="0.2">
      <c r="A256" s="67" t="s">
        <v>286</v>
      </c>
      <c r="B256" s="61" t="s">
        <v>152</v>
      </c>
      <c r="C256" s="61" t="s">
        <v>149</v>
      </c>
      <c r="D256" s="62" t="s">
        <v>287</v>
      </c>
      <c r="E256" s="71" t="s">
        <v>153</v>
      </c>
      <c r="F256" s="72">
        <v>1543</v>
      </c>
      <c r="G256" s="73" t="s">
        <v>174</v>
      </c>
      <c r="H256" s="74">
        <f>[1]!'@CTA[8-2-1-1-5-1543,F,4,#6]'</f>
        <v>0</v>
      </c>
      <c r="I256" s="74">
        <f>[1]!'@CTA[8-2-3-1-5-1543,F,4,#6]'</f>
        <v>0</v>
      </c>
      <c r="J256" s="75">
        <f>[1]!'@CTA[8-2-1-1-5-1543,F,4,#6]'+[1]!'@CTA[8-2-3-1-5-1543,F,4,#6]'</f>
        <v>0</v>
      </c>
      <c r="K256" s="76">
        <f>[1]!'@CTA[8-2-4-1-5-1543,J,4,#6]'</f>
        <v>0</v>
      </c>
      <c r="L256" s="76">
        <f>[1]!'@CTA[8-2-5-1-5-1543,J,4,#6]'</f>
        <v>0</v>
      </c>
      <c r="M256" s="76">
        <f>[1]!'@CTA[8-2-6-1-5-1543,J,4,#6]'</f>
        <v>0</v>
      </c>
      <c r="N256" s="74">
        <f>[1]!'@CTA[8-2-7-1-5-1543,F,4,#6]'</f>
        <v>0</v>
      </c>
      <c r="O256" s="66">
        <f t="shared" si="13"/>
        <v>0</v>
      </c>
    </row>
    <row r="257" spans="1:15" ht="108" x14ac:dyDescent="0.2">
      <c r="A257" s="67" t="s">
        <v>286</v>
      </c>
      <c r="B257" s="61" t="s">
        <v>152</v>
      </c>
      <c r="C257" s="61" t="s">
        <v>149</v>
      </c>
      <c r="D257" s="62" t="s">
        <v>287</v>
      </c>
      <c r="E257" s="71" t="s">
        <v>153</v>
      </c>
      <c r="F257" s="72">
        <v>1544</v>
      </c>
      <c r="G257" s="73" t="s">
        <v>175</v>
      </c>
      <c r="H257" s="74">
        <f>[1]!'@CTA[8-2-1-1-5-1544,F,4,#6]'</f>
        <v>0</v>
      </c>
      <c r="I257" s="74">
        <f>[1]!'@CTA[8-2-3-1-5-1544,F,4,#6]'</f>
        <v>0</v>
      </c>
      <c r="J257" s="75">
        <f>[1]!'@CTA[8-2-1-1-5-1544,F,4,#6]'+[1]!'@CTA[8-2-3-1-5-1544,F,4,#6]'</f>
        <v>0</v>
      </c>
      <c r="K257" s="76">
        <f>[1]!'@CTA[8-2-4-1-5-1544,J,4,#6]'</f>
        <v>0</v>
      </c>
      <c r="L257" s="76">
        <f>[1]!'@CTA[8-2-5-1-5-1544,J,4,#6]'</f>
        <v>0</v>
      </c>
      <c r="M257" s="76">
        <f>[1]!'@CTA[8-2-6-1-5-1544,J,4,#6]'</f>
        <v>0</v>
      </c>
      <c r="N257" s="74">
        <f>[1]!'@CTA[8-2-7-1-5-1544,F,4,#6]'</f>
        <v>0</v>
      </c>
      <c r="O257" s="66">
        <f t="shared" si="13"/>
        <v>0</v>
      </c>
    </row>
    <row r="258" spans="1:15" ht="108" x14ac:dyDescent="0.2">
      <c r="A258" s="67" t="s">
        <v>286</v>
      </c>
      <c r="B258" s="61"/>
      <c r="C258" s="61" t="s">
        <v>149</v>
      </c>
      <c r="D258" s="62" t="s">
        <v>287</v>
      </c>
      <c r="E258" s="61"/>
      <c r="F258" s="63">
        <v>2000</v>
      </c>
      <c r="G258" s="77" t="s">
        <v>176</v>
      </c>
      <c r="H258" s="69">
        <f t="shared" ref="H258:N258" si="18">SUBTOTAL(9,H259:H283)</f>
        <v>82221</v>
      </c>
      <c r="I258" s="69">
        <f t="shared" si="18"/>
        <v>9.0949470177292824E-13</v>
      </c>
      <c r="J258" s="69">
        <f t="shared" si="18"/>
        <v>82221</v>
      </c>
      <c r="K258" s="70">
        <f t="shared" si="18"/>
        <v>30414.980000000003</v>
      </c>
      <c r="L258" s="70">
        <f t="shared" si="18"/>
        <v>30414.980000000003</v>
      </c>
      <c r="M258" s="70">
        <f t="shared" si="18"/>
        <v>30414.980000000003</v>
      </c>
      <c r="N258" s="69">
        <f t="shared" si="18"/>
        <v>30328.820000000007</v>
      </c>
      <c r="O258" s="66">
        <f t="shared" si="13"/>
        <v>51806.02</v>
      </c>
    </row>
    <row r="259" spans="1:15" ht="108" x14ac:dyDescent="0.2">
      <c r="A259" s="67" t="s">
        <v>286</v>
      </c>
      <c r="B259" s="61" t="s">
        <v>152</v>
      </c>
      <c r="C259" s="61" t="s">
        <v>149</v>
      </c>
      <c r="D259" s="62" t="s">
        <v>287</v>
      </c>
      <c r="E259" s="71" t="s">
        <v>177</v>
      </c>
      <c r="F259" s="72">
        <v>2111</v>
      </c>
      <c r="G259" s="73" t="s">
        <v>178</v>
      </c>
      <c r="H259" s="74">
        <f>[1]!'@CTA[8-2-1-2-1-2111,F,4,#6]'</f>
        <v>26426</v>
      </c>
      <c r="I259" s="74">
        <f>[1]!'@CTA[8-2-3-2-1-2111,F,4,#6]'</f>
        <v>0</v>
      </c>
      <c r="J259" s="75">
        <f>[1]!'@CTA[8-2-1-2-1-2111,F,4,#6]'+[1]!'@CTA[8-2-3-2-1-2111,F,4,#6]'</f>
        <v>26426</v>
      </c>
      <c r="K259" s="76">
        <f>[1]!'@CTA[8-2-4-2-1-2111,J,4,#6]'</f>
        <v>7742.59</v>
      </c>
      <c r="L259" s="76">
        <f>[1]!'@CTA[8-2-5-2-1-2111,J,4,#6]'</f>
        <v>7742.59</v>
      </c>
      <c r="M259" s="76">
        <f>[1]!'@CTA[8-2-6-2-1-2111,J,4,#6]'</f>
        <v>7742.59</v>
      </c>
      <c r="N259" s="74">
        <f>[1]!'@CTA[8-2-7-2-1-2111,F,4,#6]'</f>
        <v>7742.5900000000056</v>
      </c>
      <c r="O259" s="66">
        <f t="shared" si="13"/>
        <v>18683.41</v>
      </c>
    </row>
    <row r="260" spans="1:15" ht="108" x14ac:dyDescent="0.2">
      <c r="A260" s="67" t="s">
        <v>286</v>
      </c>
      <c r="B260" s="61" t="s">
        <v>152</v>
      </c>
      <c r="C260" s="61" t="s">
        <v>149</v>
      </c>
      <c r="D260" s="62" t="s">
        <v>287</v>
      </c>
      <c r="E260" s="71" t="s">
        <v>177</v>
      </c>
      <c r="F260" s="72">
        <v>2121</v>
      </c>
      <c r="G260" s="73" t="s">
        <v>179</v>
      </c>
      <c r="H260" s="74">
        <f>[1]!'@CTA[8-2-1-2-1-2121,F,4,#6]'</f>
        <v>7999</v>
      </c>
      <c r="I260" s="74">
        <f>[1]!'@CTA[8-2-3-2-1-2121,F,4,#6]'</f>
        <v>0</v>
      </c>
      <c r="J260" s="75">
        <f>[1]!'@CTA[8-2-1-2-1-2121,F,4,#6]'+[1]!'@CTA[8-2-3-2-1-2121,F,4,#6]'</f>
        <v>7999</v>
      </c>
      <c r="K260" s="76">
        <f>[1]!'@CTA[8-2-4-2-1-2121,J,4,#6]'</f>
        <v>1934.66</v>
      </c>
      <c r="L260" s="76">
        <f>[1]!'@CTA[8-2-5-2-1-2121,J,4,#6]'</f>
        <v>1934.66</v>
      </c>
      <c r="M260" s="76">
        <f>[1]!'@CTA[8-2-6-2-1-2121,J,4,#6]'</f>
        <v>1934.66</v>
      </c>
      <c r="N260" s="74">
        <f>[1]!'@CTA[8-2-7-2-1-2121,F,4,#6]'</f>
        <v>1934.6599999999992</v>
      </c>
      <c r="O260" s="66">
        <f t="shared" si="13"/>
        <v>6064.34</v>
      </c>
    </row>
    <row r="261" spans="1:15" ht="108" x14ac:dyDescent="0.2">
      <c r="A261" s="67" t="s">
        <v>286</v>
      </c>
      <c r="B261" s="61" t="s">
        <v>152</v>
      </c>
      <c r="C261" s="61" t="s">
        <v>149</v>
      </c>
      <c r="D261" s="62" t="s">
        <v>287</v>
      </c>
      <c r="E261" s="71" t="s">
        <v>177</v>
      </c>
      <c r="F261" s="72">
        <v>2131</v>
      </c>
      <c r="G261" s="73" t="s">
        <v>180</v>
      </c>
      <c r="H261" s="74">
        <f>[1]!'@CTA[8-2-1-2-1-2131,F,4,#6]'</f>
        <v>0</v>
      </c>
      <c r="I261" s="74">
        <f>[1]!'@CTA[8-2-3-2-1-2131,F,4,#6]'</f>
        <v>0</v>
      </c>
      <c r="J261" s="75">
        <f>[1]!'@CTA[8-2-1-2-1-2131,F,4,#6]'+[1]!'@CTA[8-2-3-2-1-2131,F,4,#6]'</f>
        <v>0</v>
      </c>
      <c r="K261" s="76">
        <f>[1]!'@CTA[8-2-4-2-1-2131,J,4,#6]'</f>
        <v>0</v>
      </c>
      <c r="L261" s="76">
        <f>[1]!'@CTA[8-2-5-2-1-2131,J,4,#6]'</f>
        <v>0</v>
      </c>
      <c r="M261" s="76">
        <f>[1]!'@CTA[8-2-6-2-1-2131,J,4,#6]'</f>
        <v>0</v>
      </c>
      <c r="N261" s="74">
        <f>[1]!'@CTA[8-2-7-2-1-2131,F,4,#6]'</f>
        <v>0</v>
      </c>
      <c r="O261" s="66">
        <f t="shared" si="13"/>
        <v>0</v>
      </c>
    </row>
    <row r="262" spans="1:15" ht="108" x14ac:dyDescent="0.2">
      <c r="A262" s="67" t="s">
        <v>286</v>
      </c>
      <c r="B262" s="61" t="s">
        <v>152</v>
      </c>
      <c r="C262" s="61" t="s">
        <v>149</v>
      </c>
      <c r="D262" s="62" t="s">
        <v>287</v>
      </c>
      <c r="E262" s="71" t="s">
        <v>177</v>
      </c>
      <c r="F262" s="72">
        <v>2141</v>
      </c>
      <c r="G262" s="73" t="s">
        <v>181</v>
      </c>
      <c r="H262" s="74">
        <f>[1]!'@CTA[8-2-1-2-1-2141,F,4,#6]'</f>
        <v>4148</v>
      </c>
      <c r="I262" s="74">
        <f>[1]!'@CTA[8-2-3-2-1-2141,F,4,#6]'</f>
        <v>0</v>
      </c>
      <c r="J262" s="75">
        <f>[1]!'@CTA[8-2-1-2-1-2141,F,4,#6]'+[1]!'@CTA[8-2-3-2-1-2141,F,4,#6]'</f>
        <v>4148</v>
      </c>
      <c r="K262" s="76">
        <f>[1]!'@CTA[8-2-4-2-1-2141,J,4,#6]'</f>
        <v>0</v>
      </c>
      <c r="L262" s="76">
        <f>[1]!'@CTA[8-2-5-2-1-2141,J,4,#6]'</f>
        <v>0</v>
      </c>
      <c r="M262" s="76">
        <f>[1]!'@CTA[8-2-6-2-1-2141,J,4,#6]'</f>
        <v>0</v>
      </c>
      <c r="N262" s="74">
        <f>[1]!'@CTA[8-2-7-2-1-2141,F,4,#6]'</f>
        <v>0</v>
      </c>
      <c r="O262" s="66">
        <f t="shared" ref="O262:O325" si="19">J262-L262</f>
        <v>4148</v>
      </c>
    </row>
    <row r="263" spans="1:15" ht="108" x14ac:dyDescent="0.2">
      <c r="A263" s="67" t="s">
        <v>286</v>
      </c>
      <c r="B263" s="61" t="s">
        <v>152</v>
      </c>
      <c r="C263" s="61" t="s">
        <v>149</v>
      </c>
      <c r="D263" s="62" t="s">
        <v>287</v>
      </c>
      <c r="E263" s="71" t="s">
        <v>177</v>
      </c>
      <c r="F263" s="72">
        <v>2151</v>
      </c>
      <c r="G263" s="73" t="s">
        <v>182</v>
      </c>
      <c r="H263" s="74">
        <f>[1]!'@CTA[8-2-1-2-1-2151,F,4,#6]'</f>
        <v>0</v>
      </c>
      <c r="I263" s="74">
        <f>[1]!'@CTA[8-2-3-2-1-2151,F,4,#6]'</f>
        <v>0</v>
      </c>
      <c r="J263" s="75">
        <f>[1]!'@CTA[8-2-1-2-1-2151,F,4,#6]'+[1]!'@CTA[8-2-3-2-1-2151,F,4,#6]'</f>
        <v>0</v>
      </c>
      <c r="K263" s="76">
        <f>[1]!'@CTA[8-2-4-2-1-2151,J,4,#6]'</f>
        <v>0</v>
      </c>
      <c r="L263" s="76">
        <f>[1]!'@CTA[8-2-5-2-1-2151,J,4,#6]'</f>
        <v>0</v>
      </c>
      <c r="M263" s="76">
        <f>[1]!'@CTA[8-2-6-2-1-2151,J,4,#6]'</f>
        <v>0</v>
      </c>
      <c r="N263" s="74">
        <f>[1]!'@CTA[8-2-7-2-1-2151,F,4,#6]'</f>
        <v>0</v>
      </c>
      <c r="O263" s="66">
        <f t="shared" si="19"/>
        <v>0</v>
      </c>
    </row>
    <row r="264" spans="1:15" ht="108" x14ac:dyDescent="0.2">
      <c r="A264" s="67" t="s">
        <v>286</v>
      </c>
      <c r="B264" s="61" t="s">
        <v>152</v>
      </c>
      <c r="C264" s="61" t="s">
        <v>149</v>
      </c>
      <c r="D264" s="62" t="s">
        <v>287</v>
      </c>
      <c r="E264" s="71" t="s">
        <v>177</v>
      </c>
      <c r="F264" s="72">
        <v>2161</v>
      </c>
      <c r="G264" s="73" t="s">
        <v>183</v>
      </c>
      <c r="H264" s="74">
        <f>[1]!'@CTA[8-2-1-2-1-2161,F,4,#6]'</f>
        <v>798</v>
      </c>
      <c r="I264" s="74">
        <f>[1]!'@CTA[8-2-3-2-1-2161,F,4,#6]'</f>
        <v>0</v>
      </c>
      <c r="J264" s="75">
        <f>[1]!'@CTA[8-2-1-2-1-2161,F,4,#6]'+[1]!'@CTA[8-2-3-2-1-2161,F,4,#6]'</f>
        <v>798</v>
      </c>
      <c r="K264" s="76">
        <f>[1]!'@CTA[8-2-4-2-1-2161,J,4,#6]'</f>
        <v>19.11</v>
      </c>
      <c r="L264" s="76">
        <f>[1]!'@CTA[8-2-5-2-1-2161,J,4,#6]'</f>
        <v>19.11</v>
      </c>
      <c r="M264" s="76">
        <f>[1]!'@CTA[8-2-6-2-1-2161,J,4,#6]'</f>
        <v>19.11</v>
      </c>
      <c r="N264" s="74">
        <f>[1]!'@CTA[8-2-7-2-1-2161,F,4,#6]'</f>
        <v>19.110000000000021</v>
      </c>
      <c r="O264" s="66">
        <f t="shared" si="19"/>
        <v>778.89</v>
      </c>
    </row>
    <row r="265" spans="1:15" ht="108" x14ac:dyDescent="0.2">
      <c r="A265" s="67" t="s">
        <v>286</v>
      </c>
      <c r="B265" s="61" t="s">
        <v>152</v>
      </c>
      <c r="C265" s="61" t="s">
        <v>149</v>
      </c>
      <c r="D265" s="62" t="s">
        <v>287</v>
      </c>
      <c r="E265" s="71" t="s">
        <v>177</v>
      </c>
      <c r="F265" s="72">
        <v>2171</v>
      </c>
      <c r="G265" s="73" t="s">
        <v>184</v>
      </c>
      <c r="H265" s="74">
        <f>[1]!'@CTA[8-2-1-2-1-2171,F,4,#6]'</f>
        <v>4520</v>
      </c>
      <c r="I265" s="74">
        <f>[1]!'@CTA[8-2-3-2-1-2171,F,4,#6]'</f>
        <v>0</v>
      </c>
      <c r="J265" s="75">
        <f>[1]!'@CTA[8-2-1-2-1-2171,F,4,#6]'+[1]!'@CTA[8-2-3-2-1-2171,F,4,#6]'</f>
        <v>4520</v>
      </c>
      <c r="K265" s="76">
        <f>[1]!'@CTA[8-2-4-2-1-2171,J,4,#6]'</f>
        <v>4450</v>
      </c>
      <c r="L265" s="76">
        <f>[1]!'@CTA[8-2-5-2-1-2171,J,4,#6]'</f>
        <v>4450</v>
      </c>
      <c r="M265" s="76">
        <f>[1]!'@CTA[8-2-6-2-1-2171,J,4,#6]'</f>
        <v>4450</v>
      </c>
      <c r="N265" s="74">
        <f>[1]!'@CTA[8-2-7-2-1-2171,F,4,#6]'</f>
        <v>4450</v>
      </c>
      <c r="O265" s="66">
        <f t="shared" si="19"/>
        <v>70</v>
      </c>
    </row>
    <row r="266" spans="1:15" ht="108" x14ac:dyDescent="0.2">
      <c r="A266" s="67" t="s">
        <v>286</v>
      </c>
      <c r="B266" s="61" t="s">
        <v>152</v>
      </c>
      <c r="C266" s="61" t="s">
        <v>149</v>
      </c>
      <c r="D266" s="62" t="s">
        <v>287</v>
      </c>
      <c r="E266" s="71" t="s">
        <v>177</v>
      </c>
      <c r="F266" s="72">
        <v>2211</v>
      </c>
      <c r="G266" s="73" t="s">
        <v>185</v>
      </c>
      <c r="H266" s="74">
        <f>[1]!'@CTA[8-2-1-2-2-2211,F,4,#6]'</f>
        <v>0</v>
      </c>
      <c r="I266" s="74">
        <f>[1]!'@CTA[8-2-3-2-2-2211,F,4,#6]'</f>
        <v>0</v>
      </c>
      <c r="J266" s="75">
        <f>[1]!'@CTA[8-2-1-2-2-2211,F,4,#6]'+[1]!'@CTA[8-2-3-2-2-2211,F,4,#6]'</f>
        <v>0</v>
      </c>
      <c r="K266" s="76">
        <f>[1]!'@CTA[8-2-4-2-2-2211,J,4,#6]'</f>
        <v>0</v>
      </c>
      <c r="L266" s="76">
        <f>[1]!'@CTA[8-2-5-2-2-2211,J,4,#6]'</f>
        <v>0</v>
      </c>
      <c r="M266" s="76">
        <f>[1]!'@CTA[8-2-6-2-2-2211,J,4,#6]'</f>
        <v>0</v>
      </c>
      <c r="N266" s="74">
        <f>[1]!'@CTA[8-2-7-2-2-2211,F,4,#6]'</f>
        <v>1.2079226507921703E-13</v>
      </c>
      <c r="O266" s="66">
        <f t="shared" si="19"/>
        <v>0</v>
      </c>
    </row>
    <row r="267" spans="1:15" ht="108" x14ac:dyDescent="0.2">
      <c r="A267" s="67" t="s">
        <v>286</v>
      </c>
      <c r="B267" s="61" t="s">
        <v>152</v>
      </c>
      <c r="C267" s="61" t="s">
        <v>149</v>
      </c>
      <c r="D267" s="62" t="s">
        <v>287</v>
      </c>
      <c r="E267" s="71" t="s">
        <v>177</v>
      </c>
      <c r="F267" s="72">
        <v>2231</v>
      </c>
      <c r="G267" s="73" t="s">
        <v>186</v>
      </c>
      <c r="H267" s="74">
        <f>[1]!'@CTA[8-2-1-2-2-2231,F,4,#6]'</f>
        <v>1008</v>
      </c>
      <c r="I267" s="74">
        <f>[1]!'@CTA[8-2-3-2-2-2231,F,4,#6]'</f>
        <v>0</v>
      </c>
      <c r="J267" s="75">
        <f>[1]!'@CTA[8-2-1-2-2-2231,F,4,#6]'+[1]!'@CTA[8-2-3-2-2-2231,F,4,#6]'</f>
        <v>1008</v>
      </c>
      <c r="K267" s="76">
        <f>[1]!'@CTA[8-2-4-2-2-2231,J,4,#6]'</f>
        <v>445.65999999999997</v>
      </c>
      <c r="L267" s="76">
        <f>[1]!'@CTA[8-2-5-2-2-2231,J,4,#6]'</f>
        <v>445.65999999999997</v>
      </c>
      <c r="M267" s="76">
        <f>[1]!'@CTA[8-2-6-2-2-2231,J,4,#6]'</f>
        <v>445.65999999999997</v>
      </c>
      <c r="N267" s="74">
        <f>[1]!'@CTA[8-2-7-2-2-2231,F,4,#6]'</f>
        <v>386.43999999999988</v>
      </c>
      <c r="O267" s="66">
        <f t="shared" si="19"/>
        <v>562.34</v>
      </c>
    </row>
    <row r="268" spans="1:15" ht="108" x14ac:dyDescent="0.2">
      <c r="A268" s="67" t="s">
        <v>286</v>
      </c>
      <c r="B268" s="61" t="s">
        <v>152</v>
      </c>
      <c r="C268" s="61" t="s">
        <v>149</v>
      </c>
      <c r="D268" s="62" t="s">
        <v>287</v>
      </c>
      <c r="E268" s="71" t="s">
        <v>177</v>
      </c>
      <c r="F268" s="72">
        <v>2411</v>
      </c>
      <c r="G268" s="73" t="s">
        <v>187</v>
      </c>
      <c r="H268" s="74">
        <f>[1]!'@CTA[8-2-1-2-4-2411,F,4,#6]'</f>
        <v>4980</v>
      </c>
      <c r="I268" s="74">
        <f>[1]!'@CTA[8-2-3-2-4-2411,F,4,#6]'</f>
        <v>0</v>
      </c>
      <c r="J268" s="75">
        <f>[1]!'@CTA[8-2-1-2-4-2411,F,4,#6]'+[1]!'@CTA[8-2-3-2-4-2411,F,4,#6]'</f>
        <v>4980</v>
      </c>
      <c r="K268" s="76">
        <f>[1]!'@CTA[8-2-4-2-4-2411,J,4,#6]'</f>
        <v>0</v>
      </c>
      <c r="L268" s="76">
        <f>[1]!'@CTA[8-2-5-2-4-2411,J,4,#6]'</f>
        <v>0</v>
      </c>
      <c r="M268" s="76">
        <f>[1]!'@CTA[8-2-6-2-4-2411,J,4,#6]'</f>
        <v>0</v>
      </c>
      <c r="N268" s="74">
        <f>[1]!'@CTA[8-2-7-2-4-2411,F,4,#6]'</f>
        <v>0</v>
      </c>
      <c r="O268" s="66">
        <f t="shared" si="19"/>
        <v>4980</v>
      </c>
    </row>
    <row r="269" spans="1:15" ht="108" x14ac:dyDescent="0.2">
      <c r="A269" s="67" t="s">
        <v>286</v>
      </c>
      <c r="B269" s="61" t="s">
        <v>152</v>
      </c>
      <c r="C269" s="61" t="s">
        <v>149</v>
      </c>
      <c r="D269" s="62" t="s">
        <v>287</v>
      </c>
      <c r="E269" s="71" t="s">
        <v>177</v>
      </c>
      <c r="F269" s="72">
        <v>2461</v>
      </c>
      <c r="G269" s="73" t="s">
        <v>188</v>
      </c>
      <c r="H269" s="74">
        <f>[1]!'@CTA[8-2-1-2-4-2461,F,4,#6]'</f>
        <v>690</v>
      </c>
      <c r="I269" s="74">
        <f>[1]!'@CTA[8-2-3-2-4-2461,F,4,#6]'</f>
        <v>0</v>
      </c>
      <c r="J269" s="75">
        <f>[1]!'@CTA[8-2-1-2-4-2461,F,4,#6]'+[1]!'@CTA[8-2-3-2-4-2461,F,4,#6]'</f>
        <v>690</v>
      </c>
      <c r="K269" s="76">
        <f>[1]!'@CTA[8-2-4-2-4-2461,J,4,#6]'</f>
        <v>0</v>
      </c>
      <c r="L269" s="76">
        <f>[1]!'@CTA[8-2-5-2-4-2461,J,4,#6]'</f>
        <v>0</v>
      </c>
      <c r="M269" s="76">
        <f>[1]!'@CTA[8-2-6-2-4-2461,J,4,#6]'</f>
        <v>0</v>
      </c>
      <c r="N269" s="74">
        <f>[1]!'@CTA[8-2-7-2-4-2461,F,4,#6]'</f>
        <v>2.5579538487363607E-13</v>
      </c>
      <c r="O269" s="66">
        <f t="shared" si="19"/>
        <v>690</v>
      </c>
    </row>
    <row r="270" spans="1:15" ht="108" x14ac:dyDescent="0.2">
      <c r="A270" s="67" t="s">
        <v>286</v>
      </c>
      <c r="B270" s="61" t="s">
        <v>152</v>
      </c>
      <c r="C270" s="61" t="s">
        <v>149</v>
      </c>
      <c r="D270" s="62" t="s">
        <v>287</v>
      </c>
      <c r="E270" s="71" t="s">
        <v>177</v>
      </c>
      <c r="F270" s="72">
        <v>2471</v>
      </c>
      <c r="G270" s="73" t="s">
        <v>189</v>
      </c>
      <c r="H270" s="74">
        <f>[1]!'@CTA[8-2-1-2-4-2471,F,4,#6]'</f>
        <v>0</v>
      </c>
      <c r="I270" s="74">
        <f>[1]!'@CTA[8-2-3-2-4-2471,F,4,#6]'</f>
        <v>9.0949470177292824E-13</v>
      </c>
      <c r="J270" s="75">
        <f>[1]!'@CTA[8-2-1-2-4-2471,F,4,#6]'+[1]!'@CTA[8-2-3-2-4-2471,F,4,#6]'</f>
        <v>9.0949470177292824E-13</v>
      </c>
      <c r="K270" s="76">
        <f>[1]!'@CTA[8-2-4-2-4-2471,J,4,#6]'</f>
        <v>0</v>
      </c>
      <c r="L270" s="76">
        <f>[1]!'@CTA[8-2-5-2-4-2471,J,4,#6]'</f>
        <v>0</v>
      </c>
      <c r="M270" s="76">
        <f>[1]!'@CTA[8-2-6-2-4-2471,J,4,#6]'</f>
        <v>0</v>
      </c>
      <c r="N270" s="74">
        <f>[1]!'@CTA[8-2-7-2-4-2471,F,4,#6]'</f>
        <v>0</v>
      </c>
      <c r="O270" s="66">
        <f t="shared" si="19"/>
        <v>9.0949470177292824E-13</v>
      </c>
    </row>
    <row r="271" spans="1:15" ht="108" x14ac:dyDescent="0.2">
      <c r="A271" s="67" t="s">
        <v>286</v>
      </c>
      <c r="B271" s="61" t="s">
        <v>152</v>
      </c>
      <c r="C271" s="61" t="s">
        <v>149</v>
      </c>
      <c r="D271" s="62" t="s">
        <v>287</v>
      </c>
      <c r="E271" s="71" t="s">
        <v>177</v>
      </c>
      <c r="F271" s="72">
        <v>2481</v>
      </c>
      <c r="G271" s="73" t="s">
        <v>190</v>
      </c>
      <c r="H271" s="74">
        <f>[1]!'@CTA[8-2-1-2-4-2481,F,4,#6]'</f>
        <v>0</v>
      </c>
      <c r="I271" s="74">
        <f>[1]!'@CTA[8-2-3-2-4-2481,F,4,#6]'</f>
        <v>0</v>
      </c>
      <c r="J271" s="75">
        <f>[1]!'@CTA[8-2-1-2-4-2481,F,4,#6]'+[1]!'@CTA[8-2-3-2-4-2481,F,4,#6]'</f>
        <v>0</v>
      </c>
      <c r="K271" s="76">
        <f>[1]!'@CTA[8-2-4-2-4-2481,J,4,#6]'</f>
        <v>0</v>
      </c>
      <c r="L271" s="76">
        <f>[1]!'@CTA[8-2-5-2-4-2481,J,4,#6]'</f>
        <v>0</v>
      </c>
      <c r="M271" s="76">
        <f>[1]!'@CTA[8-2-6-2-4-2481,J,4,#6]'</f>
        <v>0</v>
      </c>
      <c r="N271" s="74">
        <f>[1]!'@CTA[8-2-7-2-4-2481,F,4,#6]'</f>
        <v>0</v>
      </c>
      <c r="O271" s="66">
        <f t="shared" si="19"/>
        <v>0</v>
      </c>
    </row>
    <row r="272" spans="1:15" ht="108" x14ac:dyDescent="0.2">
      <c r="A272" s="67" t="s">
        <v>286</v>
      </c>
      <c r="B272" s="61" t="s">
        <v>152</v>
      </c>
      <c r="C272" s="61" t="s">
        <v>149</v>
      </c>
      <c r="D272" s="62" t="s">
        <v>287</v>
      </c>
      <c r="E272" s="71" t="s">
        <v>177</v>
      </c>
      <c r="F272" s="72">
        <v>2491</v>
      </c>
      <c r="G272" s="73" t="s">
        <v>191</v>
      </c>
      <c r="H272" s="74">
        <f>[1]!'@CTA[8-2-1-2-4-2491,F,4,#6]'</f>
        <v>0</v>
      </c>
      <c r="I272" s="74">
        <f>[1]!'@CTA[8-2-3-2-4-2491,F,4,#6]'</f>
        <v>0</v>
      </c>
      <c r="J272" s="75">
        <f>[1]!'@CTA[8-2-1-2-4-2491,F,4,#6]'+[1]!'@CTA[8-2-3-2-4-2491,F,4,#6]'</f>
        <v>0</v>
      </c>
      <c r="K272" s="76">
        <f>[1]!'@CTA[8-2-4-2-4-2491,J,4,#6]'</f>
        <v>0</v>
      </c>
      <c r="L272" s="76">
        <f>[1]!'@CTA[8-2-5-2-4-2491,J,4,#6]'</f>
        <v>0</v>
      </c>
      <c r="M272" s="76">
        <f>[1]!'@CTA[8-2-6-2-4-2491,J,4,#6]'</f>
        <v>0</v>
      </c>
      <c r="N272" s="74">
        <f>[1]!'@CTA[8-2-7-2-4-2491,F,4,#6]'</f>
        <v>0</v>
      </c>
      <c r="O272" s="66">
        <f t="shared" si="19"/>
        <v>0</v>
      </c>
    </row>
    <row r="273" spans="1:15" ht="108" x14ac:dyDescent="0.2">
      <c r="A273" s="67" t="s">
        <v>286</v>
      </c>
      <c r="B273" s="61" t="s">
        <v>152</v>
      </c>
      <c r="C273" s="61" t="s">
        <v>149</v>
      </c>
      <c r="D273" s="62" t="s">
        <v>287</v>
      </c>
      <c r="E273" s="71" t="s">
        <v>177</v>
      </c>
      <c r="F273" s="72">
        <v>2492</v>
      </c>
      <c r="G273" s="73" t="s">
        <v>192</v>
      </c>
      <c r="H273" s="74">
        <f>[1]!'@CTA[8-2-1-2-4-2492,F,4,#6]'</f>
        <v>0</v>
      </c>
      <c r="I273" s="74">
        <f>[1]!'@CTA[8-2-3-2-4-2492,F,4,#6]'</f>
        <v>0</v>
      </c>
      <c r="J273" s="75">
        <f>[1]!'@CTA[8-2-1-2-4-2492,F,4,#6]'+[1]!'@CTA[8-2-3-2-4-2492,F,4,#6]'</f>
        <v>0</v>
      </c>
      <c r="K273" s="76">
        <f>[1]!'@CTA[8-2-4-2-4-2492,J,4,#6]'</f>
        <v>0</v>
      </c>
      <c r="L273" s="76">
        <f>[1]!'@CTA[8-2-5-2-4-2492,J,4,#6]'</f>
        <v>0</v>
      </c>
      <c r="M273" s="76">
        <f>[1]!'@CTA[8-2-6-2-4-2492,J,4,#6]'</f>
        <v>0</v>
      </c>
      <c r="N273" s="74">
        <f>[1]!'@CTA[8-2-7-2-4-2492,F,4,#6]'</f>
        <v>0</v>
      </c>
      <c r="O273" s="66">
        <f t="shared" si="19"/>
        <v>0</v>
      </c>
    </row>
    <row r="274" spans="1:15" ht="108" x14ac:dyDescent="0.2">
      <c r="A274" s="67" t="s">
        <v>286</v>
      </c>
      <c r="B274" s="61" t="s">
        <v>152</v>
      </c>
      <c r="C274" s="61" t="s">
        <v>149</v>
      </c>
      <c r="D274" s="62" t="s">
        <v>287</v>
      </c>
      <c r="E274" s="71" t="s">
        <v>177</v>
      </c>
      <c r="F274" s="72">
        <v>2531</v>
      </c>
      <c r="G274" s="73" t="s">
        <v>193</v>
      </c>
      <c r="H274" s="74">
        <f>[1]!'@CTA[8-2-1-2-5-2531,F,4,#6]'</f>
        <v>0</v>
      </c>
      <c r="I274" s="74">
        <f>[1]!'@CTA[8-2-3-2-5-2531,F,4,#6]'</f>
        <v>0</v>
      </c>
      <c r="J274" s="75">
        <f>[1]!'@CTA[8-2-1-2-5-2531,F,4,#6]'+[1]!'@CTA[8-2-3-2-5-2531,F,4,#6]'</f>
        <v>0</v>
      </c>
      <c r="K274" s="76">
        <f>[1]!'@CTA[8-2-4-2-5-2531,J,4,#6]'</f>
        <v>0</v>
      </c>
      <c r="L274" s="76">
        <f>[1]!'@CTA[8-2-5-2-5-2531,J,4,#6]'</f>
        <v>0</v>
      </c>
      <c r="M274" s="76">
        <f>[1]!'@CTA[8-2-6-2-5-2531,J,4,#6]'</f>
        <v>0</v>
      </c>
      <c r="N274" s="74">
        <f>[1]!'@CTA[8-2-7-2-5-2531,F,4,#6]'</f>
        <v>0</v>
      </c>
      <c r="O274" s="66">
        <f t="shared" si="19"/>
        <v>0</v>
      </c>
    </row>
    <row r="275" spans="1:15" ht="108" x14ac:dyDescent="0.2">
      <c r="A275" s="67" t="s">
        <v>286</v>
      </c>
      <c r="B275" s="61" t="s">
        <v>152</v>
      </c>
      <c r="C275" s="61" t="s">
        <v>149</v>
      </c>
      <c r="D275" s="62" t="s">
        <v>287</v>
      </c>
      <c r="E275" s="71" t="s">
        <v>177</v>
      </c>
      <c r="F275" s="72">
        <v>2551</v>
      </c>
      <c r="G275" s="73" t="s">
        <v>194</v>
      </c>
      <c r="H275" s="74">
        <f>[1]!'@CTA[8-2-1-2-5-2551,F,4,#6]'</f>
        <v>0</v>
      </c>
      <c r="I275" s="74">
        <f>[1]!'@CTA[8-2-3-2-5-2551,F,4,#6]'</f>
        <v>0</v>
      </c>
      <c r="J275" s="75">
        <f>[1]!'@CTA[8-2-1-2-5-2551,F,4,#6]'+[1]!'@CTA[8-2-3-2-5-2551,F,4,#6]'</f>
        <v>0</v>
      </c>
      <c r="K275" s="76">
        <f>[1]!'@CTA[8-2-4-2-5-2551,J,4,#6]'</f>
        <v>0</v>
      </c>
      <c r="L275" s="76">
        <f>[1]!'@CTA[8-2-5-2-5-2551,J,4,#6]'</f>
        <v>0</v>
      </c>
      <c r="M275" s="76">
        <f>[1]!'@CTA[8-2-6-2-5-2551,J,4,#6]'</f>
        <v>0</v>
      </c>
      <c r="N275" s="74">
        <f>[1]!'@CTA[8-2-7-2-5-2551,F,4,#6]'</f>
        <v>0</v>
      </c>
      <c r="O275" s="66">
        <f t="shared" si="19"/>
        <v>0</v>
      </c>
    </row>
    <row r="276" spans="1:15" ht="108" x14ac:dyDescent="0.2">
      <c r="A276" s="67" t="s">
        <v>286</v>
      </c>
      <c r="B276" s="61" t="s">
        <v>152</v>
      </c>
      <c r="C276" s="61" t="s">
        <v>149</v>
      </c>
      <c r="D276" s="62" t="s">
        <v>287</v>
      </c>
      <c r="E276" s="71" t="s">
        <v>177</v>
      </c>
      <c r="F276" s="72">
        <v>2591</v>
      </c>
      <c r="G276" s="73" t="s">
        <v>195</v>
      </c>
      <c r="H276" s="74">
        <f>[1]!'@CTA[8-2-1-2-5-2591,F,4,#6]'</f>
        <v>1652</v>
      </c>
      <c r="I276" s="74">
        <f>[1]!'@CTA[8-2-3-2-5-2591,F,4,#6]'</f>
        <v>0</v>
      </c>
      <c r="J276" s="75">
        <f>[1]!'@CTA[8-2-1-2-5-2591,F,4,#6]'+[1]!'@CTA[8-2-3-2-5-2591,F,4,#6]'</f>
        <v>1652</v>
      </c>
      <c r="K276" s="76">
        <f>[1]!'@CTA[8-2-4-2-5-2591,J,4,#6]'</f>
        <v>26.94</v>
      </c>
      <c r="L276" s="76">
        <f>[1]!'@CTA[8-2-5-2-5-2591,J,4,#6]'</f>
        <v>26.94</v>
      </c>
      <c r="M276" s="76">
        <f>[1]!'@CTA[8-2-6-2-5-2591,J,4,#6]'</f>
        <v>26.94</v>
      </c>
      <c r="N276" s="74">
        <f>[1]!'@CTA[8-2-7-2-5-2591,F,4,#6]'</f>
        <v>0</v>
      </c>
      <c r="O276" s="66">
        <f t="shared" si="19"/>
        <v>1625.06</v>
      </c>
    </row>
    <row r="277" spans="1:15" ht="108" x14ac:dyDescent="0.2">
      <c r="A277" s="67" t="s">
        <v>286</v>
      </c>
      <c r="B277" s="61" t="s">
        <v>152</v>
      </c>
      <c r="C277" s="61" t="s">
        <v>149</v>
      </c>
      <c r="D277" s="62" t="s">
        <v>287</v>
      </c>
      <c r="E277" s="71" t="s">
        <v>177</v>
      </c>
      <c r="F277" s="72">
        <v>2611</v>
      </c>
      <c r="G277" s="73" t="s">
        <v>196</v>
      </c>
      <c r="H277" s="74">
        <f>[1]!'@CTA[8-2-1-2-6-2611,F,4,#6]'</f>
        <v>0</v>
      </c>
      <c r="I277" s="74">
        <f>[1]!'@CTA[8-2-3-2-6-2611,F,4,#6]'</f>
        <v>0</v>
      </c>
      <c r="J277" s="75">
        <f>[1]!'@CTA[8-2-1-2-6-2611,F,4,#6]'+[1]!'@CTA[8-2-3-2-6-2611,F,4,#6]'</f>
        <v>0</v>
      </c>
      <c r="K277" s="76">
        <f>[1]!'@CTA[8-2-4-2-6-2611,J,4,#6]'</f>
        <v>0</v>
      </c>
      <c r="L277" s="76">
        <f>[1]!'@CTA[8-2-5-2-6-2611,J,4,#6]'</f>
        <v>0</v>
      </c>
      <c r="M277" s="76">
        <f>[1]!'@CTA[8-2-6-2-6-2611,J,4,#6]'</f>
        <v>0</v>
      </c>
      <c r="N277" s="74">
        <f>[1]!'@CTA[8-2-7-2-6-2611,F,4,#6]'</f>
        <v>0</v>
      </c>
      <c r="O277" s="66">
        <f t="shared" si="19"/>
        <v>0</v>
      </c>
    </row>
    <row r="278" spans="1:15" ht="108" x14ac:dyDescent="0.2">
      <c r="A278" s="67" t="s">
        <v>286</v>
      </c>
      <c r="B278" s="61" t="s">
        <v>152</v>
      </c>
      <c r="C278" s="61" t="s">
        <v>149</v>
      </c>
      <c r="D278" s="62" t="s">
        <v>287</v>
      </c>
      <c r="E278" s="71" t="s">
        <v>177</v>
      </c>
      <c r="F278" s="72">
        <v>2612</v>
      </c>
      <c r="G278" s="73" t="s">
        <v>197</v>
      </c>
      <c r="H278" s="74">
        <f>[1]!'@CTA[8-2-1-2-6-2612,F,4,#6]'</f>
        <v>0</v>
      </c>
      <c r="I278" s="74">
        <f>[1]!'@CTA[8-2-3-2-6-2612,F,4,#6]'</f>
        <v>0</v>
      </c>
      <c r="J278" s="75">
        <f>[1]!'@CTA[8-2-1-2-6-2612,F,4,#6]'+[1]!'@CTA[8-2-3-2-6-2612,F,4,#6]'</f>
        <v>0</v>
      </c>
      <c r="K278" s="76">
        <f>[1]!'@CTA[8-2-4-2-6-2612,J,4,#6]'</f>
        <v>0</v>
      </c>
      <c r="L278" s="76">
        <f>[1]!'@CTA[8-2-5-2-6-2612,J,4,#6]'</f>
        <v>0</v>
      </c>
      <c r="M278" s="76">
        <f>[1]!'@CTA[8-2-6-2-6-2612,J,4,#6]'</f>
        <v>0</v>
      </c>
      <c r="N278" s="74">
        <f>[1]!'@CTA[8-2-7-2-6-2612,F,4,#6]'</f>
        <v>0</v>
      </c>
      <c r="O278" s="66">
        <f t="shared" si="19"/>
        <v>0</v>
      </c>
    </row>
    <row r="279" spans="1:15" ht="108" x14ac:dyDescent="0.2">
      <c r="A279" s="67" t="s">
        <v>286</v>
      </c>
      <c r="B279" s="61" t="s">
        <v>152</v>
      </c>
      <c r="C279" s="61" t="s">
        <v>149</v>
      </c>
      <c r="D279" s="62" t="s">
        <v>287</v>
      </c>
      <c r="E279" s="71" t="s">
        <v>177</v>
      </c>
      <c r="F279" s="72">
        <v>2711</v>
      </c>
      <c r="G279" s="73" t="s">
        <v>198</v>
      </c>
      <c r="H279" s="74">
        <f>[1]!'@CTA[8-2-1-2-7-2711,F,4,#6]'</f>
        <v>30000</v>
      </c>
      <c r="I279" s="74">
        <f>[1]!'@CTA[8-2-3-2-7-2711,F,4,#6]'</f>
        <v>0</v>
      </c>
      <c r="J279" s="75">
        <f>[1]!'@CTA[8-2-1-2-7-2711,F,4,#6]'+[1]!'@CTA[8-2-3-2-7-2711,F,4,#6]'</f>
        <v>30000</v>
      </c>
      <c r="K279" s="76">
        <f>[1]!'@CTA[8-2-4-2-7-2711,J,4,#6]'</f>
        <v>15796.02</v>
      </c>
      <c r="L279" s="76">
        <f>[1]!'@CTA[8-2-5-2-7-2711,J,4,#6]'</f>
        <v>15796.02</v>
      </c>
      <c r="M279" s="76">
        <f>[1]!'@CTA[8-2-6-2-7-2711,J,4,#6]'</f>
        <v>15796.02</v>
      </c>
      <c r="N279" s="74">
        <f>[1]!'@CTA[8-2-7-2-7-2711,F,4,#6]'</f>
        <v>15796.02</v>
      </c>
      <c r="O279" s="66">
        <f t="shared" si="19"/>
        <v>14203.98</v>
      </c>
    </row>
    <row r="280" spans="1:15" ht="108" x14ac:dyDescent="0.2">
      <c r="A280" s="67" t="s">
        <v>286</v>
      </c>
      <c r="B280" s="61" t="s">
        <v>152</v>
      </c>
      <c r="C280" s="61" t="s">
        <v>149</v>
      </c>
      <c r="D280" s="62" t="s">
        <v>287</v>
      </c>
      <c r="E280" s="71" t="s">
        <v>177</v>
      </c>
      <c r="F280" s="72">
        <v>2712</v>
      </c>
      <c r="G280" s="73" t="s">
        <v>199</v>
      </c>
      <c r="H280" s="74">
        <f>[1]!'@CTA[8-2-1-2-7-2712,F,4,#6]'</f>
        <v>0</v>
      </c>
      <c r="I280" s="74">
        <f>[1]!'@CTA[8-2-3-2-7-2712,F,4,#6]'</f>
        <v>0</v>
      </c>
      <c r="J280" s="75">
        <f>[1]!'@CTA[8-2-1-2-7-2712,F,4,#6]'+[1]!'@CTA[8-2-3-2-7-2712,F,4,#6]'</f>
        <v>0</v>
      </c>
      <c r="K280" s="76">
        <f>[1]!'@CTA[8-2-4-2-7-2712,J,4,#6]'</f>
        <v>0</v>
      </c>
      <c r="L280" s="76">
        <f>[1]!'@CTA[8-2-5-2-7-2712,J,4,#6]'</f>
        <v>0</v>
      </c>
      <c r="M280" s="76">
        <f>[1]!'@CTA[8-2-6-2-7-2712,J,4,#6]'</f>
        <v>0</v>
      </c>
      <c r="N280" s="74">
        <f>[1]!'@CTA[8-2-7-2-7-2712,F,4,#6]'</f>
        <v>0</v>
      </c>
      <c r="O280" s="66">
        <f t="shared" si="19"/>
        <v>0</v>
      </c>
    </row>
    <row r="281" spans="1:15" ht="108" x14ac:dyDescent="0.2">
      <c r="A281" s="67" t="s">
        <v>286</v>
      </c>
      <c r="B281" s="61" t="s">
        <v>152</v>
      </c>
      <c r="C281" s="61" t="s">
        <v>149</v>
      </c>
      <c r="D281" s="62" t="s">
        <v>287</v>
      </c>
      <c r="E281" s="71" t="s">
        <v>177</v>
      </c>
      <c r="F281" s="72">
        <v>2721</v>
      </c>
      <c r="G281" s="73" t="s">
        <v>200</v>
      </c>
      <c r="H281" s="74">
        <f>[1]!'@CTA[8-2-1-2-7-2721,F,4,#6]'</f>
        <v>0</v>
      </c>
      <c r="I281" s="74">
        <f>[1]!'@CTA[8-2-3-2-7-2721,F,4,#6]'</f>
        <v>0</v>
      </c>
      <c r="J281" s="75">
        <f>[1]!'@CTA[8-2-1-2-7-2721,F,4,#6]'+[1]!'@CTA[8-2-3-2-7-2721,F,4,#6]'</f>
        <v>0</v>
      </c>
      <c r="K281" s="76">
        <f>[1]!'@CTA[8-2-4-2-7-2721,J,4,#6]'</f>
        <v>0</v>
      </c>
      <c r="L281" s="76">
        <f>[1]!'@CTA[8-2-5-2-7-2721,J,4,#6]'</f>
        <v>0</v>
      </c>
      <c r="M281" s="76">
        <f>[1]!'@CTA[8-2-6-2-7-2721,J,4,#6]'</f>
        <v>0</v>
      </c>
      <c r="N281" s="74">
        <f>[1]!'@CTA[8-2-7-2-7-2721,F,4,#6]'</f>
        <v>0</v>
      </c>
      <c r="O281" s="66">
        <f t="shared" si="19"/>
        <v>0</v>
      </c>
    </row>
    <row r="282" spans="1:15" ht="108" x14ac:dyDescent="0.2">
      <c r="A282" s="67" t="s">
        <v>286</v>
      </c>
      <c r="B282" s="61" t="s">
        <v>152</v>
      </c>
      <c r="C282" s="61" t="s">
        <v>149</v>
      </c>
      <c r="D282" s="62" t="s">
        <v>287</v>
      </c>
      <c r="E282" s="71" t="s">
        <v>177</v>
      </c>
      <c r="F282" s="72">
        <v>2731</v>
      </c>
      <c r="G282" s="73" t="s">
        <v>201</v>
      </c>
      <c r="H282" s="74">
        <f>[1]!'@CTA[8-2-1-2-7-2731,F,4,#6]'</f>
        <v>0</v>
      </c>
      <c r="I282" s="74">
        <f>[1]!'@CTA[8-2-3-2-7-2731,F,4,#6]'</f>
        <v>0</v>
      </c>
      <c r="J282" s="75">
        <f>[1]!'@CTA[8-2-1-2-7-2731,F,4,#6]'+[1]!'@CTA[8-2-3-2-7-2731,F,4,#6]'</f>
        <v>0</v>
      </c>
      <c r="K282" s="76">
        <f>[1]!'@CTA[8-2-4-2-7-2731,J,4,#6]'</f>
        <v>0</v>
      </c>
      <c r="L282" s="76">
        <f>[1]!'@CTA[8-2-5-2-7-2731,J,4,#6]'</f>
        <v>0</v>
      </c>
      <c r="M282" s="76">
        <f>[1]!'@CTA[8-2-6-2-7-2731,J,4,#6]'</f>
        <v>0</v>
      </c>
      <c r="N282" s="74">
        <f>[1]!'@CTA[8-2-7-2-7-2731,F,4,#6]'</f>
        <v>0</v>
      </c>
      <c r="O282" s="66">
        <f t="shared" si="19"/>
        <v>0</v>
      </c>
    </row>
    <row r="283" spans="1:15" ht="108" x14ac:dyDescent="0.2">
      <c r="A283" s="67" t="s">
        <v>286</v>
      </c>
      <c r="B283" s="61" t="s">
        <v>152</v>
      </c>
      <c r="C283" s="61" t="s">
        <v>149</v>
      </c>
      <c r="D283" s="62" t="s">
        <v>287</v>
      </c>
      <c r="E283" s="71" t="s">
        <v>177</v>
      </c>
      <c r="F283" s="72">
        <v>2911</v>
      </c>
      <c r="G283" s="73" t="s">
        <v>202</v>
      </c>
      <c r="H283" s="74">
        <f>[1]!'@CTA[8-2-1-2-9-2911,F,4,#6]'</f>
        <v>0</v>
      </c>
      <c r="I283" s="74">
        <f>[1]!'@CTA[8-2-3-2-9-2911,F,4,#6]'</f>
        <v>0</v>
      </c>
      <c r="J283" s="75">
        <f>[1]!'@CTA[8-2-1-2-9-2911,F,4,#6]'+[1]!'@CTA[8-2-3-2-9-2911,F,4,#6]'</f>
        <v>0</v>
      </c>
      <c r="K283" s="76">
        <f>[1]!'@CTA[8-2-4-2-9-2911,J,4,#6]'</f>
        <v>0</v>
      </c>
      <c r="L283" s="76">
        <f>[1]!'@CTA[8-2-5-2-9-2911,J,4,#6]'</f>
        <v>0</v>
      </c>
      <c r="M283" s="76">
        <f>[1]!'@CTA[8-2-6-2-9-2911,J,4,#6]'</f>
        <v>0</v>
      </c>
      <c r="N283" s="74">
        <f>[1]!'@CTA[8-2-7-2-9-2911,F,4,#6]'</f>
        <v>0</v>
      </c>
      <c r="O283" s="66">
        <f t="shared" si="19"/>
        <v>0</v>
      </c>
    </row>
    <row r="284" spans="1:15" ht="108" x14ac:dyDescent="0.2">
      <c r="A284" s="67" t="s">
        <v>286</v>
      </c>
      <c r="B284" s="61"/>
      <c r="C284" s="61" t="s">
        <v>149</v>
      </c>
      <c r="D284" s="62" t="s">
        <v>287</v>
      </c>
      <c r="E284" s="61"/>
      <c r="F284" s="63">
        <v>3000</v>
      </c>
      <c r="G284" s="77" t="s">
        <v>203</v>
      </c>
      <c r="H284" s="69">
        <f t="shared" ref="H284:N284" si="20">SUBTOTAL(9,H285:H334)</f>
        <v>477225</v>
      </c>
      <c r="I284" s="69">
        <f t="shared" si="20"/>
        <v>2741.87</v>
      </c>
      <c r="J284" s="69">
        <f t="shared" si="20"/>
        <v>479966.87</v>
      </c>
      <c r="K284" s="70">
        <f t="shared" si="20"/>
        <v>77398</v>
      </c>
      <c r="L284" s="70">
        <f t="shared" si="20"/>
        <v>77398</v>
      </c>
      <c r="M284" s="70">
        <f t="shared" si="20"/>
        <v>77398</v>
      </c>
      <c r="N284" s="69">
        <f t="shared" si="20"/>
        <v>75609.430000000051</v>
      </c>
      <c r="O284" s="66">
        <f t="shared" si="19"/>
        <v>402568.87</v>
      </c>
    </row>
    <row r="285" spans="1:15" ht="108" x14ac:dyDescent="0.2">
      <c r="A285" s="67" t="s">
        <v>286</v>
      </c>
      <c r="B285" s="61" t="s">
        <v>152</v>
      </c>
      <c r="C285" s="61" t="s">
        <v>149</v>
      </c>
      <c r="D285" s="62" t="s">
        <v>287</v>
      </c>
      <c r="E285" s="71" t="s">
        <v>177</v>
      </c>
      <c r="F285" s="72">
        <v>3111</v>
      </c>
      <c r="G285" s="73" t="s">
        <v>204</v>
      </c>
      <c r="H285" s="74">
        <f>[1]!'@CTA[8-2-1-3-1-3111,F,4,#6]'</f>
        <v>5605</v>
      </c>
      <c r="I285" s="74">
        <f>[1]!'@CTA[8-2-3-3-1-3111,F,4,#6]'</f>
        <v>0</v>
      </c>
      <c r="J285" s="75">
        <f>[1]!'@CTA[8-2-1-3-1-3111,F,4,#6]'+[1]!'@CTA[8-2-3-3-1-3111,F,4,#6]'</f>
        <v>5605</v>
      </c>
      <c r="K285" s="76">
        <f>[1]!'@CTA[8-2-4-3-1-3111,J,4,#6]'</f>
        <v>2187.1799999999998</v>
      </c>
      <c r="L285" s="76">
        <f>[1]!'@CTA[8-2-5-3-1-3111,J,4,#6]'</f>
        <v>2187.1799999999998</v>
      </c>
      <c r="M285" s="76">
        <f>[1]!'@CTA[8-2-6-3-1-3111,J,4,#6]'</f>
        <v>2187.1799999999998</v>
      </c>
      <c r="N285" s="74">
        <f>[1]!'@CTA[8-2-7-3-1-3111,F,4,#6]'</f>
        <v>2187.179999999998</v>
      </c>
      <c r="O285" s="66">
        <f t="shared" si="19"/>
        <v>3417.82</v>
      </c>
    </row>
    <row r="286" spans="1:15" ht="108" x14ac:dyDescent="0.2">
      <c r="A286" s="67" t="s">
        <v>286</v>
      </c>
      <c r="B286" s="61" t="s">
        <v>152</v>
      </c>
      <c r="C286" s="61" t="s">
        <v>149</v>
      </c>
      <c r="D286" s="62" t="s">
        <v>287</v>
      </c>
      <c r="E286" s="71" t="s">
        <v>177</v>
      </c>
      <c r="F286" s="72">
        <v>3131</v>
      </c>
      <c r="G286" s="73" t="s">
        <v>205</v>
      </c>
      <c r="H286" s="74">
        <f>[1]!'@CTA[8-2-1-3-1-3131,F,4,#6]'</f>
        <v>960</v>
      </c>
      <c r="I286" s="74">
        <f>[1]!'@CTA[8-2-3-3-1-3131,F,4,#6]'</f>
        <v>0</v>
      </c>
      <c r="J286" s="75">
        <f>[1]!'@CTA[8-2-1-3-1-3131,F,4,#6]'+[1]!'@CTA[8-2-3-3-1-3131,F,4,#6]'</f>
        <v>960</v>
      </c>
      <c r="K286" s="76">
        <f>[1]!'@CTA[8-2-4-3-1-3131,J,4,#6]'</f>
        <v>182.39000000000001</v>
      </c>
      <c r="L286" s="76">
        <f>[1]!'@CTA[8-2-5-3-1-3131,J,4,#6]'</f>
        <v>182.39000000000001</v>
      </c>
      <c r="M286" s="76">
        <f>[1]!'@CTA[8-2-6-3-1-3131,J,4,#6]'</f>
        <v>182.39000000000001</v>
      </c>
      <c r="N286" s="74">
        <f>[1]!'@CTA[8-2-7-3-1-3131,F,4,#6]'</f>
        <v>182.39000000000013</v>
      </c>
      <c r="O286" s="66">
        <f t="shared" si="19"/>
        <v>777.61</v>
      </c>
    </row>
    <row r="287" spans="1:15" ht="108" x14ac:dyDescent="0.2">
      <c r="A287" s="67" t="s">
        <v>286</v>
      </c>
      <c r="B287" s="61" t="s">
        <v>152</v>
      </c>
      <c r="C287" s="61" t="s">
        <v>149</v>
      </c>
      <c r="D287" s="62" t="s">
        <v>287</v>
      </c>
      <c r="E287" s="71" t="s">
        <v>177</v>
      </c>
      <c r="F287" s="72">
        <v>3141</v>
      </c>
      <c r="G287" s="73" t="s">
        <v>206</v>
      </c>
      <c r="H287" s="74">
        <f>[1]!'@CTA[8-2-1-3-1-3141,F,4,#6]'</f>
        <v>2940</v>
      </c>
      <c r="I287" s="74">
        <f>[1]!'@CTA[8-2-3-3-1-3141,F,4,#6]'</f>
        <v>466.95</v>
      </c>
      <c r="J287" s="75">
        <f>[1]!'@CTA[8-2-1-3-1-3141,F,4,#6]'+[1]!'@CTA[8-2-3-3-1-3141,F,4,#6]'</f>
        <v>3406.95</v>
      </c>
      <c r="K287" s="76">
        <f>[1]!'@CTA[8-2-4-3-1-3141,J,4,#6]'</f>
        <v>1091.02</v>
      </c>
      <c r="L287" s="76">
        <f>[1]!'@CTA[8-2-5-3-1-3141,J,4,#6]'</f>
        <v>1091.02</v>
      </c>
      <c r="M287" s="76">
        <f>[1]!'@CTA[8-2-6-3-1-3141,J,4,#6]'</f>
        <v>1091.02</v>
      </c>
      <c r="N287" s="74">
        <f>[1]!'@CTA[8-2-7-3-1-3141,F,4,#6]'</f>
        <v>950.68000000000086</v>
      </c>
      <c r="O287" s="66">
        <f t="shared" si="19"/>
        <v>2315.9299999999998</v>
      </c>
    </row>
    <row r="288" spans="1:15" ht="108" x14ac:dyDescent="0.2">
      <c r="A288" s="67" t="s">
        <v>286</v>
      </c>
      <c r="B288" s="61" t="s">
        <v>152</v>
      </c>
      <c r="C288" s="61" t="s">
        <v>149</v>
      </c>
      <c r="D288" s="62" t="s">
        <v>287</v>
      </c>
      <c r="E288" s="71" t="s">
        <v>177</v>
      </c>
      <c r="F288" s="72">
        <v>3161</v>
      </c>
      <c r="G288" s="73" t="s">
        <v>207</v>
      </c>
      <c r="H288" s="74">
        <f>[1]!'@CTA[8-2-1-3-1-3161,F,4,#6]'</f>
        <v>0</v>
      </c>
      <c r="I288" s="74">
        <f>[1]!'@CTA[8-2-3-3-1-3161,F,4,#6]'</f>
        <v>0</v>
      </c>
      <c r="J288" s="75">
        <f>[1]!'@CTA[8-2-1-3-1-3161,F,4,#6]'+[1]!'@CTA[8-2-3-3-1-3161,F,4,#6]'</f>
        <v>0</v>
      </c>
      <c r="K288" s="76">
        <f>[1]!'@CTA[8-2-4-3-1-3161,J,4,#6]'</f>
        <v>0</v>
      </c>
      <c r="L288" s="76">
        <f>[1]!'@CTA[8-2-5-3-1-3161,J,4,#6]'</f>
        <v>0</v>
      </c>
      <c r="M288" s="76">
        <f>[1]!'@CTA[8-2-6-3-1-3161,J,4,#6]'</f>
        <v>0</v>
      </c>
      <c r="N288" s="74">
        <f>[1]!'@CTA[8-2-7-3-1-3161,F,4,#6]'</f>
        <v>0</v>
      </c>
      <c r="O288" s="66">
        <f t="shared" si="19"/>
        <v>0</v>
      </c>
    </row>
    <row r="289" spans="1:15" ht="108" x14ac:dyDescent="0.2">
      <c r="A289" s="67" t="s">
        <v>286</v>
      </c>
      <c r="B289" s="61" t="s">
        <v>152</v>
      </c>
      <c r="C289" s="61" t="s">
        <v>149</v>
      </c>
      <c r="D289" s="62" t="s">
        <v>287</v>
      </c>
      <c r="E289" s="71" t="s">
        <v>177</v>
      </c>
      <c r="F289" s="72">
        <v>3171</v>
      </c>
      <c r="G289" s="73" t="s">
        <v>208</v>
      </c>
      <c r="H289" s="74">
        <f>[1]!'@CTA[8-2-1-3-1-3171,F,4,#6]'</f>
        <v>3655</v>
      </c>
      <c r="I289" s="74">
        <f>[1]!'@CTA[8-2-3-3-1-3171,F,4,#6]'</f>
        <v>0</v>
      </c>
      <c r="J289" s="75">
        <f>[1]!'@CTA[8-2-1-3-1-3171,F,4,#6]'+[1]!'@CTA[8-2-3-3-1-3171,F,4,#6]'</f>
        <v>3655</v>
      </c>
      <c r="K289" s="76">
        <f>[1]!'@CTA[8-2-4-3-1-3171,J,4,#6]'</f>
        <v>0</v>
      </c>
      <c r="L289" s="76">
        <f>[1]!'@CTA[8-2-5-3-1-3171,J,4,#6]'</f>
        <v>0</v>
      </c>
      <c r="M289" s="76">
        <f>[1]!'@CTA[8-2-6-3-1-3171,J,4,#6]'</f>
        <v>0</v>
      </c>
      <c r="N289" s="74">
        <f>[1]!'@CTA[8-2-7-3-1-3171,F,4,#6]'</f>
        <v>2.2737367544323206E-12</v>
      </c>
      <c r="O289" s="66">
        <f t="shared" si="19"/>
        <v>3655</v>
      </c>
    </row>
    <row r="290" spans="1:15" ht="108" x14ac:dyDescent="0.2">
      <c r="A290" s="67" t="s">
        <v>286</v>
      </c>
      <c r="B290" s="61" t="s">
        <v>152</v>
      </c>
      <c r="C290" s="61" t="s">
        <v>149</v>
      </c>
      <c r="D290" s="62" t="s">
        <v>287</v>
      </c>
      <c r="E290" s="71" t="s">
        <v>177</v>
      </c>
      <c r="F290" s="72">
        <v>3181</v>
      </c>
      <c r="G290" s="73" t="s">
        <v>209</v>
      </c>
      <c r="H290" s="74">
        <f>[1]!'@CTA[8-2-1-3-1-3181,F,4,#6]'</f>
        <v>0</v>
      </c>
      <c r="I290" s="74">
        <f>[1]!'@CTA[8-2-3-3-1-3181,F,4,#6]'</f>
        <v>0</v>
      </c>
      <c r="J290" s="75">
        <f>[1]!'@CTA[8-2-1-3-1-3181,F,4,#6]'+[1]!'@CTA[8-2-3-3-1-3181,F,4,#6]'</f>
        <v>0</v>
      </c>
      <c r="K290" s="76">
        <f>[1]!'@CTA[8-2-4-3-1-3181,J,4,#6]'</f>
        <v>0</v>
      </c>
      <c r="L290" s="76">
        <f>[1]!'@CTA[8-2-5-3-1-3181,J,4,#6]'</f>
        <v>0</v>
      </c>
      <c r="M290" s="76">
        <f>[1]!'@CTA[8-2-6-3-1-3181,J,4,#6]'</f>
        <v>0</v>
      </c>
      <c r="N290" s="74">
        <f>[1]!'@CTA[8-2-7-3-1-3181,F,4,#6]'</f>
        <v>0</v>
      </c>
      <c r="O290" s="66">
        <f t="shared" si="19"/>
        <v>0</v>
      </c>
    </row>
    <row r="291" spans="1:15" ht="108" x14ac:dyDescent="0.2">
      <c r="A291" s="67" t="s">
        <v>286</v>
      </c>
      <c r="B291" s="61" t="s">
        <v>152</v>
      </c>
      <c r="C291" s="61" t="s">
        <v>149</v>
      </c>
      <c r="D291" s="62" t="s">
        <v>287</v>
      </c>
      <c r="E291" s="71" t="s">
        <v>177</v>
      </c>
      <c r="F291" s="72">
        <v>3182</v>
      </c>
      <c r="G291" s="73" t="s">
        <v>210</v>
      </c>
      <c r="H291" s="74">
        <f>[1]!'@CTA[8-2-1-3-1-3182,F,4,#6]'</f>
        <v>0</v>
      </c>
      <c r="I291" s="74">
        <f>[1]!'@CTA[8-2-3-3-1-3182,F,4,#6]'</f>
        <v>0</v>
      </c>
      <c r="J291" s="75">
        <f>[1]!'@CTA[8-2-1-3-1-3182,F,4,#6]'+[1]!'@CTA[8-2-3-3-1-3182,F,4,#6]'</f>
        <v>0</v>
      </c>
      <c r="K291" s="76">
        <f>[1]!'@CTA[8-2-4-3-1-3182,J,4,#6]'</f>
        <v>0</v>
      </c>
      <c r="L291" s="76">
        <f>[1]!'@CTA[8-2-5-3-1-3182,J,4,#6]'</f>
        <v>0</v>
      </c>
      <c r="M291" s="76">
        <f>[1]!'@CTA[8-2-6-3-1-3182,J,4,#6]'</f>
        <v>0</v>
      </c>
      <c r="N291" s="74">
        <f>[1]!'@CTA[8-2-7-3-1-3182,F,4,#6]'</f>
        <v>0</v>
      </c>
      <c r="O291" s="66">
        <f t="shared" si="19"/>
        <v>0</v>
      </c>
    </row>
    <row r="292" spans="1:15" ht="108" x14ac:dyDescent="0.2">
      <c r="A292" s="67" t="s">
        <v>286</v>
      </c>
      <c r="B292" s="61" t="s">
        <v>152</v>
      </c>
      <c r="C292" s="61" t="s">
        <v>149</v>
      </c>
      <c r="D292" s="62" t="s">
        <v>287</v>
      </c>
      <c r="E292" s="71" t="s">
        <v>211</v>
      </c>
      <c r="F292" s="72">
        <v>3211</v>
      </c>
      <c r="G292" s="73" t="s">
        <v>212</v>
      </c>
      <c r="H292" s="74">
        <f>[1]!'@CTA[8-2-1-3-2-3211,F,4,#6]'</f>
        <v>0</v>
      </c>
      <c r="I292" s="74">
        <f>[1]!'@CTA[8-2-3-3-2-3211,F,4,#6]'</f>
        <v>0</v>
      </c>
      <c r="J292" s="75">
        <f>[1]!'@CTA[8-2-1-3-2-3211,F,4,#6]'+[1]!'@CTA[8-2-3-3-2-3211,F,4,#6]'</f>
        <v>0</v>
      </c>
      <c r="K292" s="76">
        <f>[1]!'@CTA[8-2-4-3-2-3211,J,4,#6]'</f>
        <v>0</v>
      </c>
      <c r="L292" s="76">
        <f>[1]!'@CTA[8-2-5-3-2-3211,J,4,#6]'</f>
        <v>0</v>
      </c>
      <c r="M292" s="76">
        <f>[1]!'@CTA[8-2-6-3-2-3211,J,4,#6]'</f>
        <v>0</v>
      </c>
      <c r="N292" s="74">
        <f>[1]!'@CTA[8-2-7-3-2-3211,F,4,#6]'</f>
        <v>0</v>
      </c>
      <c r="O292" s="66">
        <f t="shared" si="19"/>
        <v>0</v>
      </c>
    </row>
    <row r="293" spans="1:15" ht="108" x14ac:dyDescent="0.2">
      <c r="A293" s="67" t="s">
        <v>286</v>
      </c>
      <c r="B293" s="61" t="s">
        <v>152</v>
      </c>
      <c r="C293" s="61" t="s">
        <v>149</v>
      </c>
      <c r="D293" s="62" t="s">
        <v>287</v>
      </c>
      <c r="E293" s="71" t="s">
        <v>177</v>
      </c>
      <c r="F293" s="72">
        <v>3231</v>
      </c>
      <c r="G293" s="73" t="s">
        <v>213</v>
      </c>
      <c r="H293" s="74">
        <f>[1]!'@CTA[8-2-1-3-2-3231,F,4,#6]'</f>
        <v>0</v>
      </c>
      <c r="I293" s="74">
        <f>[1]!'@CTA[8-2-3-3-2-3231,F,4,#6]'</f>
        <v>0</v>
      </c>
      <c r="J293" s="75">
        <f>[1]!'@CTA[8-2-1-3-2-3231,F,4,#6]'+[1]!'@CTA[8-2-3-3-2-3231,F,4,#6]'</f>
        <v>0</v>
      </c>
      <c r="K293" s="76">
        <f>[1]!'@CTA[8-2-4-3-2-3231,J,4,#6]'</f>
        <v>0</v>
      </c>
      <c r="L293" s="76">
        <f>[1]!'@CTA[8-2-5-3-2-3231,J,4,#6]'</f>
        <v>0</v>
      </c>
      <c r="M293" s="76">
        <f>[1]!'@CTA[8-2-6-3-2-3231,J,4,#6]'</f>
        <v>0</v>
      </c>
      <c r="N293" s="74">
        <f>[1]!'@CTA[8-2-7-3-2-3231,F,4,#6]'</f>
        <v>0</v>
      </c>
      <c r="O293" s="66">
        <f t="shared" si="19"/>
        <v>0</v>
      </c>
    </row>
    <row r="294" spans="1:15" ht="108" x14ac:dyDescent="0.2">
      <c r="A294" s="67" t="s">
        <v>286</v>
      </c>
      <c r="B294" s="61" t="s">
        <v>152</v>
      </c>
      <c r="C294" s="61" t="s">
        <v>149</v>
      </c>
      <c r="D294" s="62" t="s">
        <v>287</v>
      </c>
      <c r="E294" s="71" t="s">
        <v>177</v>
      </c>
      <c r="F294" s="72">
        <v>3261</v>
      </c>
      <c r="G294" s="73" t="s">
        <v>214</v>
      </c>
      <c r="H294" s="74">
        <f>[1]!'@CTA[8-2-1-3-2-3261,F,4,#6]'</f>
        <v>0</v>
      </c>
      <c r="I294" s="74">
        <f>[1]!'@CTA[8-2-3-3-2-3261,F,4,#6]'</f>
        <v>0</v>
      </c>
      <c r="J294" s="75">
        <f>[1]!'@CTA[8-2-1-3-2-3261,F,4,#6]'+[1]!'@CTA[8-2-3-3-2-3261,F,4,#6]'</f>
        <v>0</v>
      </c>
      <c r="K294" s="76">
        <f>[1]!'@CTA[8-2-4-3-2-3261,J,4,#6]'</f>
        <v>0</v>
      </c>
      <c r="L294" s="76">
        <f>[1]!'@CTA[8-2-5-3-2-3261,J,4,#6]'</f>
        <v>0</v>
      </c>
      <c r="M294" s="76">
        <f>[1]!'@CTA[8-2-6-3-2-3261,J,4,#6]'</f>
        <v>0</v>
      </c>
      <c r="N294" s="74">
        <f>[1]!'@CTA[8-2-7-3-2-3261,F,4,#6]'</f>
        <v>0</v>
      </c>
      <c r="O294" s="66">
        <f t="shared" si="19"/>
        <v>0</v>
      </c>
    </row>
    <row r="295" spans="1:15" ht="108" x14ac:dyDescent="0.2">
      <c r="A295" s="67" t="s">
        <v>286</v>
      </c>
      <c r="B295" s="61" t="s">
        <v>152</v>
      </c>
      <c r="C295" s="61" t="s">
        <v>149</v>
      </c>
      <c r="D295" s="62" t="s">
        <v>287</v>
      </c>
      <c r="E295" s="71" t="s">
        <v>177</v>
      </c>
      <c r="F295" s="72">
        <v>3291</v>
      </c>
      <c r="G295" s="73" t="s">
        <v>215</v>
      </c>
      <c r="H295" s="74">
        <f>[1]!'@CTA[8-2-1-3-2-3291,F,4,#6]'</f>
        <v>0</v>
      </c>
      <c r="I295" s="74">
        <f>[1]!'@CTA[8-2-3-3-2-3291,F,4,#6]'</f>
        <v>0</v>
      </c>
      <c r="J295" s="75">
        <f>[1]!'@CTA[8-2-1-3-2-3291,F,4,#6]'+[1]!'@CTA[8-2-3-3-2-3291,F,4,#6]'</f>
        <v>0</v>
      </c>
      <c r="K295" s="76">
        <f>[1]!'@CTA[8-2-4-3-2-3291,J,4,#6]'</f>
        <v>0</v>
      </c>
      <c r="L295" s="76">
        <f>[1]!'@CTA[8-2-5-3-2-3291,J,4,#6]'</f>
        <v>0</v>
      </c>
      <c r="M295" s="76">
        <f>[1]!'@CTA[8-2-6-3-2-3291,J,4,#6]'</f>
        <v>0</v>
      </c>
      <c r="N295" s="74">
        <f>[1]!'@CTA[8-2-7-3-2-3291,F,4,#6]'</f>
        <v>0</v>
      </c>
      <c r="O295" s="66">
        <f t="shared" si="19"/>
        <v>0</v>
      </c>
    </row>
    <row r="296" spans="1:15" ht="108" x14ac:dyDescent="0.2">
      <c r="A296" s="67" t="s">
        <v>286</v>
      </c>
      <c r="B296" s="61" t="s">
        <v>152</v>
      </c>
      <c r="C296" s="61" t="s">
        <v>149</v>
      </c>
      <c r="D296" s="62" t="s">
        <v>287</v>
      </c>
      <c r="E296" s="71" t="s">
        <v>177</v>
      </c>
      <c r="F296" s="72">
        <v>3311</v>
      </c>
      <c r="G296" s="73" t="s">
        <v>216</v>
      </c>
      <c r="H296" s="74">
        <f>[1]!'@CTA[8-2-1-3-3-3311,F,4,#6]'</f>
        <v>75000</v>
      </c>
      <c r="I296" s="74">
        <f>[1]!'@CTA[8-2-3-3-3-3311,F,4,#6]'</f>
        <v>0</v>
      </c>
      <c r="J296" s="75">
        <f>[1]!'@CTA[8-2-1-3-3-3311,F,4,#6]'+[1]!'@CTA[8-2-3-3-3-3311,F,4,#6]'</f>
        <v>75000</v>
      </c>
      <c r="K296" s="76">
        <f>[1]!'@CTA[8-2-4-3-3-3311,J,4,#6]'</f>
        <v>0</v>
      </c>
      <c r="L296" s="76">
        <f>[1]!'@CTA[8-2-5-3-3-3311,J,4,#6]'</f>
        <v>0</v>
      </c>
      <c r="M296" s="76">
        <f>[1]!'@CTA[8-2-6-3-3-3311,J,4,#6]'</f>
        <v>0</v>
      </c>
      <c r="N296" s="74">
        <f>[1]!'@CTA[8-2-7-3-3-3311,F,4,#6]'</f>
        <v>0</v>
      </c>
      <c r="O296" s="66">
        <f t="shared" si="19"/>
        <v>75000</v>
      </c>
    </row>
    <row r="297" spans="1:15" ht="108" x14ac:dyDescent="0.2">
      <c r="A297" s="67" t="s">
        <v>286</v>
      </c>
      <c r="B297" s="61" t="s">
        <v>152</v>
      </c>
      <c r="C297" s="61" t="s">
        <v>149</v>
      </c>
      <c r="D297" s="62" t="s">
        <v>287</v>
      </c>
      <c r="E297" s="71" t="s">
        <v>177</v>
      </c>
      <c r="F297" s="72">
        <v>3331</v>
      </c>
      <c r="G297" s="73" t="s">
        <v>217</v>
      </c>
      <c r="H297" s="74">
        <f>[1]!'@CTA[8-2-1-3-3-3331,F,4,#6]'</f>
        <v>0</v>
      </c>
      <c r="I297" s="74">
        <f>[1]!'@CTA[8-2-3-3-3-3331,F,4,#6]'</f>
        <v>0</v>
      </c>
      <c r="J297" s="75">
        <f>[1]!'@CTA[8-2-1-3-3-3331,F,4,#6]'+[1]!'@CTA[8-2-3-3-3-3331,F,4,#6]'</f>
        <v>0</v>
      </c>
      <c r="K297" s="76">
        <f>[1]!'@CTA[8-2-4-3-3-3331,J,4,#6]'</f>
        <v>0</v>
      </c>
      <c r="L297" s="76">
        <f>[1]!'@CTA[8-2-5-3-3-3331,J,4,#6]'</f>
        <v>0</v>
      </c>
      <c r="M297" s="76">
        <f>[1]!'@CTA[8-2-6-3-3-3331,J,4,#6]'</f>
        <v>0</v>
      </c>
      <c r="N297" s="74">
        <f>[1]!'@CTA[8-2-7-3-3-3331,F,4,#6]'</f>
        <v>0</v>
      </c>
      <c r="O297" s="66">
        <f t="shared" si="19"/>
        <v>0</v>
      </c>
    </row>
    <row r="298" spans="1:15" ht="108" x14ac:dyDescent="0.2">
      <c r="A298" s="67" t="s">
        <v>286</v>
      </c>
      <c r="B298" s="61" t="s">
        <v>152</v>
      </c>
      <c r="C298" s="61" t="s">
        <v>149</v>
      </c>
      <c r="D298" s="62" t="s">
        <v>287</v>
      </c>
      <c r="E298" s="71" t="s">
        <v>177</v>
      </c>
      <c r="F298" s="72">
        <v>3332</v>
      </c>
      <c r="G298" s="73" t="s">
        <v>218</v>
      </c>
      <c r="H298" s="74">
        <f>[1]!'@CTA[8-2-1-3-3-3332,F,4,#6]'</f>
        <v>0</v>
      </c>
      <c r="I298" s="74">
        <f>[1]!'@CTA[8-2-3-3-3-3332,F,4,#6]'</f>
        <v>0</v>
      </c>
      <c r="J298" s="75">
        <f>[1]!'@CTA[8-2-1-3-3-3332,F,4,#6]'+[1]!'@CTA[8-2-3-3-3-3332,F,4,#6]'</f>
        <v>0</v>
      </c>
      <c r="K298" s="76">
        <f>[1]!'@CTA[8-2-4-3-3-3332,J,4,#6]'</f>
        <v>0</v>
      </c>
      <c r="L298" s="76">
        <f>[1]!'@CTA[8-2-5-3-3-3332,J,4,#6]'</f>
        <v>0</v>
      </c>
      <c r="M298" s="76">
        <f>[1]!'@CTA[8-2-6-3-3-3332,J,4,#6]'</f>
        <v>0</v>
      </c>
      <c r="N298" s="74">
        <f>[1]!'@CTA[8-2-7-3-3-3332,F,4,#6]'</f>
        <v>0</v>
      </c>
      <c r="O298" s="66">
        <f t="shared" si="19"/>
        <v>0</v>
      </c>
    </row>
    <row r="299" spans="1:15" ht="108" x14ac:dyDescent="0.2">
      <c r="A299" s="67" t="s">
        <v>286</v>
      </c>
      <c r="B299" s="61" t="s">
        <v>152</v>
      </c>
      <c r="C299" s="61" t="s">
        <v>149</v>
      </c>
      <c r="D299" s="62" t="s">
        <v>287</v>
      </c>
      <c r="E299" s="71" t="s">
        <v>177</v>
      </c>
      <c r="F299" s="72">
        <v>3341</v>
      </c>
      <c r="G299" s="73" t="s">
        <v>219</v>
      </c>
      <c r="H299" s="74">
        <f>[1]!'@CTA[8-2-1-3-3-3341,F,4,#6]'</f>
        <v>0</v>
      </c>
      <c r="I299" s="74">
        <f>[1]!'@CTA[8-2-3-3-3-3341,F,4,#6]'</f>
        <v>0</v>
      </c>
      <c r="J299" s="75">
        <f>[1]!'@CTA[8-2-1-3-3-3341,F,4,#6]'+[1]!'@CTA[8-2-3-3-3-3341,F,4,#6]'</f>
        <v>0</v>
      </c>
      <c r="K299" s="76">
        <f>[1]!'@CTA[8-2-4-3-3-3341,J,4,#6]'</f>
        <v>0</v>
      </c>
      <c r="L299" s="76">
        <f>[1]!'@CTA[8-2-5-3-3-3341,J,4,#6]'</f>
        <v>0</v>
      </c>
      <c r="M299" s="76">
        <f>[1]!'@CTA[8-2-6-3-3-3341,J,4,#6]'</f>
        <v>0</v>
      </c>
      <c r="N299" s="74">
        <f>[1]!'@CTA[8-2-7-3-3-3341,F,4,#6]'</f>
        <v>-2.2737367544323206E-13</v>
      </c>
      <c r="O299" s="66">
        <f t="shared" si="19"/>
        <v>0</v>
      </c>
    </row>
    <row r="300" spans="1:15" ht="108" x14ac:dyDescent="0.2">
      <c r="A300" s="67" t="s">
        <v>286</v>
      </c>
      <c r="B300" s="61" t="s">
        <v>152</v>
      </c>
      <c r="C300" s="61" t="s">
        <v>149</v>
      </c>
      <c r="D300" s="62" t="s">
        <v>287</v>
      </c>
      <c r="E300" s="71" t="s">
        <v>177</v>
      </c>
      <c r="F300" s="72">
        <v>3381</v>
      </c>
      <c r="G300" s="73" t="s">
        <v>220</v>
      </c>
      <c r="H300" s="74">
        <f>[1]!'@CTA[8-2-1-3-3-3381,F,4,#6]'</f>
        <v>0</v>
      </c>
      <c r="I300" s="74">
        <f>[1]!'@CTA[8-2-3-3-3-3381,F,4,#6]'</f>
        <v>0</v>
      </c>
      <c r="J300" s="75">
        <f>[1]!'@CTA[8-2-1-3-3-3381,F,4,#6]'+[1]!'@CTA[8-2-3-3-3-3381,F,4,#6]'</f>
        <v>0</v>
      </c>
      <c r="K300" s="76">
        <f>[1]!'@CTA[8-2-4-3-3-3381,J,4,#6]'</f>
        <v>0</v>
      </c>
      <c r="L300" s="76">
        <f>[1]!'@CTA[8-2-5-3-3-3381,J,4,#6]'</f>
        <v>0</v>
      </c>
      <c r="M300" s="76">
        <f>[1]!'@CTA[8-2-6-3-3-3381,J,4,#6]'</f>
        <v>0</v>
      </c>
      <c r="N300" s="74">
        <f>[1]!'@CTA[8-2-7-3-3-3381,F,4,#6]'</f>
        <v>0</v>
      </c>
      <c r="O300" s="66">
        <f t="shared" si="19"/>
        <v>0</v>
      </c>
    </row>
    <row r="301" spans="1:15" ht="108" x14ac:dyDescent="0.2">
      <c r="A301" s="67" t="s">
        <v>286</v>
      </c>
      <c r="B301" s="61" t="s">
        <v>152</v>
      </c>
      <c r="C301" s="61" t="s">
        <v>149</v>
      </c>
      <c r="D301" s="62" t="s">
        <v>287</v>
      </c>
      <c r="E301" s="71" t="s">
        <v>177</v>
      </c>
      <c r="F301" s="72">
        <v>3391</v>
      </c>
      <c r="G301" s="73" t="s">
        <v>221</v>
      </c>
      <c r="H301" s="74">
        <f>[1]!'@CTA[8-2-1-3-3-3391,F,4,#6]'</f>
        <v>0</v>
      </c>
      <c r="I301" s="74">
        <f>[1]!'@CTA[8-2-3-3-3-3391,F,4,#6]'</f>
        <v>0</v>
      </c>
      <c r="J301" s="75">
        <f>[1]!'@CTA[8-2-1-3-3-3391,F,4,#6]'+[1]!'@CTA[8-2-3-3-3-3391,F,4,#6]'</f>
        <v>0</v>
      </c>
      <c r="K301" s="76">
        <f>[1]!'@CTA[8-2-4-3-3-3391,J,4,#6]'</f>
        <v>0</v>
      </c>
      <c r="L301" s="76">
        <f>[1]!'@CTA[8-2-5-3-3-3391,J,4,#6]'</f>
        <v>0</v>
      </c>
      <c r="M301" s="76">
        <f>[1]!'@CTA[8-2-6-3-3-3391,J,4,#6]'</f>
        <v>0</v>
      </c>
      <c r="N301" s="74">
        <f>[1]!'@CTA[8-2-7-3-3-3391,F,4,#6]'</f>
        <v>0</v>
      </c>
      <c r="O301" s="66">
        <f t="shared" si="19"/>
        <v>0</v>
      </c>
    </row>
    <row r="302" spans="1:15" ht="108" x14ac:dyDescent="0.2">
      <c r="A302" s="67" t="s">
        <v>286</v>
      </c>
      <c r="B302" s="61" t="s">
        <v>152</v>
      </c>
      <c r="C302" s="61" t="s">
        <v>149</v>
      </c>
      <c r="D302" s="62" t="s">
        <v>287</v>
      </c>
      <c r="E302" s="71" t="s">
        <v>177</v>
      </c>
      <c r="F302" s="72">
        <v>3411</v>
      </c>
      <c r="G302" s="73" t="s">
        <v>222</v>
      </c>
      <c r="H302" s="74">
        <f>[1]!'@CTA[8-2-1-3-4-3411,F,4,#6]'</f>
        <v>72856</v>
      </c>
      <c r="I302" s="74">
        <f>[1]!'@CTA[8-2-3-3-4-3411,F,4,#6]'</f>
        <v>0</v>
      </c>
      <c r="J302" s="75">
        <f>[1]!'@CTA[8-2-1-3-4-3411,F,4,#6]'+[1]!'@CTA[8-2-3-3-4-3411,F,4,#6]'</f>
        <v>72856</v>
      </c>
      <c r="K302" s="76">
        <f>[1]!'@CTA[8-2-4-3-4-3411,J,4,#6]'</f>
        <v>13354.240000000002</v>
      </c>
      <c r="L302" s="76">
        <f>[1]!'@CTA[8-2-5-3-4-3411,J,4,#6]'</f>
        <v>13354.240000000002</v>
      </c>
      <c r="M302" s="76">
        <f>[1]!'@CTA[8-2-6-3-4-3411,J,4,#6]'</f>
        <v>13354.240000000002</v>
      </c>
      <c r="N302" s="74">
        <f>[1]!'@CTA[8-2-7-3-4-3411,F,4,#6]'</f>
        <v>13354.239999999994</v>
      </c>
      <c r="O302" s="66">
        <f t="shared" si="19"/>
        <v>59501.759999999995</v>
      </c>
    </row>
    <row r="303" spans="1:15" ht="108" x14ac:dyDescent="0.2">
      <c r="A303" s="67" t="s">
        <v>286</v>
      </c>
      <c r="B303" s="61" t="s">
        <v>152</v>
      </c>
      <c r="C303" s="61" t="s">
        <v>149</v>
      </c>
      <c r="D303" s="62" t="s">
        <v>287</v>
      </c>
      <c r="E303" s="71" t="s">
        <v>177</v>
      </c>
      <c r="F303" s="72">
        <v>3431</v>
      </c>
      <c r="G303" s="73" t="s">
        <v>223</v>
      </c>
      <c r="H303" s="74">
        <f>[1]!'@CTA[8-2-1-3-4-3431,F,4,#6]'</f>
        <v>290704</v>
      </c>
      <c r="I303" s="74">
        <f>[1]!'@CTA[8-2-3-3-4-3431,F,4,#6]'</f>
        <v>0</v>
      </c>
      <c r="J303" s="75">
        <f>[1]!'@CTA[8-2-1-3-4-3431,F,4,#6]'+[1]!'@CTA[8-2-3-3-4-3431,F,4,#6]'</f>
        <v>290704</v>
      </c>
      <c r="K303" s="76">
        <f>[1]!'@CTA[8-2-4-3-4-3431,J,4,#6]'</f>
        <v>49617.99</v>
      </c>
      <c r="L303" s="76">
        <f>[1]!'@CTA[8-2-5-3-4-3431,J,4,#6]'</f>
        <v>49617.99</v>
      </c>
      <c r="M303" s="76">
        <f>[1]!'@CTA[8-2-6-3-4-3431,J,4,#6]'</f>
        <v>49617.99</v>
      </c>
      <c r="N303" s="74">
        <f>[1]!'@CTA[8-2-7-3-4-3431,F,4,#6]'</f>
        <v>49617.990000000056</v>
      </c>
      <c r="O303" s="66">
        <f t="shared" si="19"/>
        <v>241086.01</v>
      </c>
    </row>
    <row r="304" spans="1:15" ht="108" x14ac:dyDescent="0.2">
      <c r="A304" s="67" t="s">
        <v>286</v>
      </c>
      <c r="B304" s="61" t="s">
        <v>152</v>
      </c>
      <c r="C304" s="61" t="s">
        <v>149</v>
      </c>
      <c r="D304" s="62" t="s">
        <v>287</v>
      </c>
      <c r="E304" s="71" t="s">
        <v>177</v>
      </c>
      <c r="F304" s="72">
        <v>3451</v>
      </c>
      <c r="G304" s="73" t="s">
        <v>224</v>
      </c>
      <c r="H304" s="74">
        <f>[1]!'@CTA[8-2-1-3-4-3451,F,4,#6]'</f>
        <v>815</v>
      </c>
      <c r="I304" s="74">
        <f>[1]!'@CTA[8-2-3-3-4-3451,F,4,#6]'</f>
        <v>0</v>
      </c>
      <c r="J304" s="75">
        <f>[1]!'@CTA[8-2-1-3-4-3451,F,4,#6]'+[1]!'@CTA[8-2-3-3-4-3451,F,4,#6]'</f>
        <v>815</v>
      </c>
      <c r="K304" s="76">
        <f>[1]!'@CTA[8-2-4-3-4-3451,J,4,#6]'</f>
        <v>210.60000000000002</v>
      </c>
      <c r="L304" s="76">
        <f>[1]!'@CTA[8-2-5-3-4-3451,J,4,#6]'</f>
        <v>210.60000000000002</v>
      </c>
      <c r="M304" s="76">
        <f>[1]!'@CTA[8-2-6-3-4-3451,J,4,#6]'</f>
        <v>210.60000000000002</v>
      </c>
      <c r="N304" s="74">
        <f>[1]!'@CTA[8-2-7-3-4-3451,F,4,#6]'</f>
        <v>210.5999999999998</v>
      </c>
      <c r="O304" s="66">
        <f t="shared" si="19"/>
        <v>604.4</v>
      </c>
    </row>
    <row r="305" spans="1:15" ht="108" x14ac:dyDescent="0.2">
      <c r="A305" s="67" t="s">
        <v>286</v>
      </c>
      <c r="B305" s="61" t="s">
        <v>152</v>
      </c>
      <c r="C305" s="61" t="s">
        <v>149</v>
      </c>
      <c r="D305" s="62" t="s">
        <v>287</v>
      </c>
      <c r="E305" s="71" t="s">
        <v>177</v>
      </c>
      <c r="F305" s="72">
        <v>3471</v>
      </c>
      <c r="G305" s="73" t="s">
        <v>225</v>
      </c>
      <c r="H305" s="74">
        <f>[1]!'@CTA[8-2-1-3-4-3471,F,4,#6]'</f>
        <v>400</v>
      </c>
      <c r="I305" s="74">
        <f>[1]!'@CTA[8-2-3-3-4-3471,F,4,#6]'</f>
        <v>0</v>
      </c>
      <c r="J305" s="75">
        <f>[1]!'@CTA[8-2-1-3-4-3471,F,4,#6]'+[1]!'@CTA[8-2-3-3-4-3471,F,4,#6]'</f>
        <v>400</v>
      </c>
      <c r="K305" s="76">
        <f>[1]!'@CTA[8-2-4-3-4-3471,J,4,#6]'</f>
        <v>0</v>
      </c>
      <c r="L305" s="76">
        <f>[1]!'@CTA[8-2-5-3-4-3471,J,4,#6]'</f>
        <v>0</v>
      </c>
      <c r="M305" s="76">
        <f>[1]!'@CTA[8-2-6-3-4-3471,J,4,#6]'</f>
        <v>0</v>
      </c>
      <c r="N305" s="74">
        <f>[1]!'@CTA[8-2-7-3-4-3471,F,4,#6]'</f>
        <v>0</v>
      </c>
      <c r="O305" s="66">
        <f t="shared" si="19"/>
        <v>400</v>
      </c>
    </row>
    <row r="306" spans="1:15" ht="108" x14ac:dyDescent="0.2">
      <c r="A306" s="67" t="s">
        <v>286</v>
      </c>
      <c r="B306" s="61" t="s">
        <v>152</v>
      </c>
      <c r="C306" s="61" t="s">
        <v>149</v>
      </c>
      <c r="D306" s="62" t="s">
        <v>287</v>
      </c>
      <c r="E306" s="71" t="s">
        <v>177</v>
      </c>
      <c r="F306" s="72">
        <v>3491</v>
      </c>
      <c r="G306" s="73" t="s">
        <v>226</v>
      </c>
      <c r="H306" s="74">
        <f>[1]!'@CTA[8-2-1-3-4-3491,F,4,#6]'</f>
        <v>1524</v>
      </c>
      <c r="I306" s="74">
        <f>[1]!'@CTA[8-2-3-3-4-3491,F,4,#6]'</f>
        <v>0</v>
      </c>
      <c r="J306" s="75">
        <f>[1]!'@CTA[8-2-1-3-4-3491,F,4,#6]'+[1]!'@CTA[8-2-3-3-4-3491,F,4,#6]'</f>
        <v>1524</v>
      </c>
      <c r="K306" s="76">
        <f>[1]!'@CTA[8-2-4-3-4-3491,J,4,#6]'</f>
        <v>420.54</v>
      </c>
      <c r="L306" s="76">
        <f>[1]!'@CTA[8-2-5-3-4-3491,J,4,#6]'</f>
        <v>420.54</v>
      </c>
      <c r="M306" s="76">
        <f>[1]!'@CTA[8-2-6-3-4-3491,J,4,#6]'</f>
        <v>420.54</v>
      </c>
      <c r="N306" s="74">
        <f>[1]!'@CTA[8-2-7-3-4-3491,F,4,#6]'</f>
        <v>420.5400000000007</v>
      </c>
      <c r="O306" s="66">
        <f t="shared" si="19"/>
        <v>1103.46</v>
      </c>
    </row>
    <row r="307" spans="1:15" ht="108" x14ac:dyDescent="0.2">
      <c r="A307" s="67" t="s">
        <v>286</v>
      </c>
      <c r="B307" s="61" t="s">
        <v>152</v>
      </c>
      <c r="C307" s="61" t="s">
        <v>149</v>
      </c>
      <c r="D307" s="62" t="s">
        <v>287</v>
      </c>
      <c r="E307" s="71" t="s">
        <v>177</v>
      </c>
      <c r="F307" s="72">
        <v>3511</v>
      </c>
      <c r="G307" s="73" t="s">
        <v>227</v>
      </c>
      <c r="H307" s="74">
        <f>[1]!'@CTA[8-2-1-3-5-3511,F,4,#6]'</f>
        <v>0</v>
      </c>
      <c r="I307" s="74">
        <f>[1]!'@CTA[8-2-3-3-5-3511,F,4,#6]'</f>
        <v>0</v>
      </c>
      <c r="J307" s="75">
        <f>[1]!'@CTA[8-2-1-3-5-3511,F,4,#6]'+[1]!'@CTA[8-2-3-3-5-3511,F,4,#6]'</f>
        <v>0</v>
      </c>
      <c r="K307" s="76">
        <f>[1]!'@CTA[8-2-4-3-5-3511,J,4,#6]'</f>
        <v>0</v>
      </c>
      <c r="L307" s="76">
        <f>[1]!'@CTA[8-2-5-3-5-3511,J,4,#6]'</f>
        <v>0</v>
      </c>
      <c r="M307" s="76">
        <f>[1]!'@CTA[8-2-6-3-5-3511,J,4,#6]'</f>
        <v>0</v>
      </c>
      <c r="N307" s="74">
        <f>[1]!'@CTA[8-2-7-3-5-3511,F,4,#6]'</f>
        <v>0</v>
      </c>
      <c r="O307" s="66">
        <f t="shared" si="19"/>
        <v>0</v>
      </c>
    </row>
    <row r="308" spans="1:15" ht="108" x14ac:dyDescent="0.2">
      <c r="A308" s="67" t="s">
        <v>286</v>
      </c>
      <c r="B308" s="61" t="s">
        <v>152</v>
      </c>
      <c r="C308" s="61" t="s">
        <v>149</v>
      </c>
      <c r="D308" s="62" t="s">
        <v>287</v>
      </c>
      <c r="E308" s="71" t="s">
        <v>177</v>
      </c>
      <c r="F308" s="72">
        <v>3521</v>
      </c>
      <c r="G308" s="73" t="s">
        <v>228</v>
      </c>
      <c r="H308" s="74">
        <f>[1]!'@CTA[8-2-1-3-5-3521,F,4,#6]'</f>
        <v>0</v>
      </c>
      <c r="I308" s="74">
        <f>[1]!'@CTA[8-2-3-3-5-3521,F,4,#6]'</f>
        <v>0</v>
      </c>
      <c r="J308" s="75">
        <f>[1]!'@CTA[8-2-1-3-5-3521,F,4,#6]'+[1]!'@CTA[8-2-3-3-5-3521,F,4,#6]'</f>
        <v>0</v>
      </c>
      <c r="K308" s="76">
        <f>[1]!'@CTA[8-2-4-3-5-3521,J,4,#6]'</f>
        <v>0</v>
      </c>
      <c r="L308" s="76">
        <f>[1]!'@CTA[8-2-5-3-5-3521,J,4,#6]'</f>
        <v>0</v>
      </c>
      <c r="M308" s="76">
        <f>[1]!'@CTA[8-2-6-3-5-3521,J,4,#6]'</f>
        <v>0</v>
      </c>
      <c r="N308" s="74">
        <f>[1]!'@CTA[8-2-7-3-5-3521,F,4,#6]'</f>
        <v>0</v>
      </c>
      <c r="O308" s="66">
        <f t="shared" si="19"/>
        <v>0</v>
      </c>
    </row>
    <row r="309" spans="1:15" ht="108" x14ac:dyDescent="0.2">
      <c r="A309" s="67" t="s">
        <v>286</v>
      </c>
      <c r="B309" s="61" t="s">
        <v>152</v>
      </c>
      <c r="C309" s="61" t="s">
        <v>149</v>
      </c>
      <c r="D309" s="62" t="s">
        <v>287</v>
      </c>
      <c r="E309" s="71" t="s">
        <v>177</v>
      </c>
      <c r="F309" s="72">
        <v>3531</v>
      </c>
      <c r="G309" s="73" t="s">
        <v>229</v>
      </c>
      <c r="H309" s="74">
        <f>[1]!'@CTA[8-2-1-3-5-3531,F,4,#6]'</f>
        <v>0</v>
      </c>
      <c r="I309" s="74">
        <f>[1]!'@CTA[8-2-3-3-5-3531,F,4,#6]'</f>
        <v>0</v>
      </c>
      <c r="J309" s="75">
        <f>[1]!'@CTA[8-2-1-3-5-3531,F,4,#6]'+[1]!'@CTA[8-2-3-3-5-3531,F,4,#6]'</f>
        <v>0</v>
      </c>
      <c r="K309" s="76">
        <f>[1]!'@CTA[8-2-4-3-5-3531,J,4,#6]'</f>
        <v>0</v>
      </c>
      <c r="L309" s="76">
        <f>[1]!'@CTA[8-2-5-3-5-3531,J,4,#6]'</f>
        <v>0</v>
      </c>
      <c r="M309" s="76">
        <f>[1]!'@CTA[8-2-6-3-5-3531,J,4,#6]'</f>
        <v>0</v>
      </c>
      <c r="N309" s="74">
        <f>[1]!'@CTA[8-2-7-3-5-3531,F,4,#6]'</f>
        <v>0</v>
      </c>
      <c r="O309" s="66">
        <f t="shared" si="19"/>
        <v>0</v>
      </c>
    </row>
    <row r="310" spans="1:15" ht="108" x14ac:dyDescent="0.2">
      <c r="A310" s="67" t="s">
        <v>286</v>
      </c>
      <c r="B310" s="61" t="s">
        <v>152</v>
      </c>
      <c r="C310" s="61" t="s">
        <v>149</v>
      </c>
      <c r="D310" s="62" t="s">
        <v>287</v>
      </c>
      <c r="E310" s="71" t="s">
        <v>177</v>
      </c>
      <c r="F310" s="72">
        <v>3551</v>
      </c>
      <c r="G310" s="73" t="s">
        <v>230</v>
      </c>
      <c r="H310" s="74">
        <f>[1]!'@CTA[8-2-1-3-5-3551,F,4,#6]'</f>
        <v>0</v>
      </c>
      <c r="I310" s="74">
        <f>[1]!'@CTA[8-2-3-3-5-3551,F,4,#6]'</f>
        <v>0</v>
      </c>
      <c r="J310" s="75">
        <f>[1]!'@CTA[8-2-1-3-5-3551,F,4,#6]'+[1]!'@CTA[8-2-3-3-5-3551,F,4,#6]'</f>
        <v>0</v>
      </c>
      <c r="K310" s="76">
        <f>[1]!'@CTA[8-2-4-3-5-3551,J,4,#6]'</f>
        <v>0</v>
      </c>
      <c r="L310" s="76">
        <f>[1]!'@CTA[8-2-5-3-5-3551,J,4,#6]'</f>
        <v>0</v>
      </c>
      <c r="M310" s="76">
        <f>[1]!'@CTA[8-2-6-3-5-3551,J,4,#6]'</f>
        <v>0</v>
      </c>
      <c r="N310" s="74">
        <f>[1]!'@CTA[8-2-7-3-5-3551,F,4,#6]'</f>
        <v>0</v>
      </c>
      <c r="O310" s="66">
        <f t="shared" si="19"/>
        <v>0</v>
      </c>
    </row>
    <row r="311" spans="1:15" ht="108" x14ac:dyDescent="0.2">
      <c r="A311" s="67" t="s">
        <v>286</v>
      </c>
      <c r="B311" s="61" t="s">
        <v>152</v>
      </c>
      <c r="C311" s="61" t="s">
        <v>149</v>
      </c>
      <c r="D311" s="62" t="s">
        <v>287</v>
      </c>
      <c r="E311" s="71" t="s">
        <v>177</v>
      </c>
      <c r="F311" s="72">
        <v>3571</v>
      </c>
      <c r="G311" s="73" t="s">
        <v>231</v>
      </c>
      <c r="H311" s="74">
        <f>[1]!'@CTA[8-2-1-3-5-3571,F,4,#6]'</f>
        <v>0</v>
      </c>
      <c r="I311" s="74">
        <f>[1]!'@CTA[8-2-3-3-5-3571,F,4,#6]'</f>
        <v>0</v>
      </c>
      <c r="J311" s="75">
        <f>[1]!'@CTA[8-2-1-3-5-3571,F,4,#6]'+[1]!'@CTA[8-2-3-3-5-3571,F,4,#6]'</f>
        <v>0</v>
      </c>
      <c r="K311" s="76">
        <f>[1]!'@CTA[8-2-4-3-5-3571,J,4,#6]'</f>
        <v>0</v>
      </c>
      <c r="L311" s="76">
        <f>[1]!'@CTA[8-2-5-3-5-3571,J,4,#6]'</f>
        <v>0</v>
      </c>
      <c r="M311" s="76">
        <f>[1]!'@CTA[8-2-6-3-5-3571,J,4,#6]'</f>
        <v>0</v>
      </c>
      <c r="N311" s="74">
        <f>[1]!'@CTA[8-2-7-3-5-3571,F,4,#6]'</f>
        <v>0</v>
      </c>
      <c r="O311" s="66">
        <f t="shared" si="19"/>
        <v>0</v>
      </c>
    </row>
    <row r="312" spans="1:15" ht="108" x14ac:dyDescent="0.2">
      <c r="A312" s="67" t="s">
        <v>286</v>
      </c>
      <c r="B312" s="61" t="s">
        <v>152</v>
      </c>
      <c r="C312" s="61" t="s">
        <v>149</v>
      </c>
      <c r="D312" s="62" t="s">
        <v>287</v>
      </c>
      <c r="E312" s="71" t="s">
        <v>177</v>
      </c>
      <c r="F312" s="72">
        <v>3572</v>
      </c>
      <c r="G312" s="73" t="s">
        <v>232</v>
      </c>
      <c r="H312" s="74">
        <f>[1]!'@CTA[8-2-1-3-5-3572,F,4,#6]'</f>
        <v>0</v>
      </c>
      <c r="I312" s="74">
        <f>[1]!'@CTA[8-2-3-3-5-3572,F,4,#6]'</f>
        <v>0</v>
      </c>
      <c r="J312" s="75">
        <f>[1]!'@CTA[8-2-1-3-5-3572,F,4,#6]'+[1]!'@CTA[8-2-3-3-5-3572,F,4,#6]'</f>
        <v>0</v>
      </c>
      <c r="K312" s="76">
        <f>[1]!'@CTA[8-2-4-3-5-3572,J,4,#6]'</f>
        <v>0</v>
      </c>
      <c r="L312" s="76">
        <f>[1]!'@CTA[8-2-5-3-5-3572,J,4,#6]'</f>
        <v>0</v>
      </c>
      <c r="M312" s="76">
        <f>[1]!'@CTA[8-2-6-3-5-3572,J,4,#6]'</f>
        <v>0</v>
      </c>
      <c r="N312" s="74">
        <f>[1]!'@CTA[8-2-7-3-5-3572,F,4,#6]'</f>
        <v>0</v>
      </c>
      <c r="O312" s="66">
        <f t="shared" si="19"/>
        <v>0</v>
      </c>
    </row>
    <row r="313" spans="1:15" ht="108" x14ac:dyDescent="0.2">
      <c r="A313" s="67" t="s">
        <v>286</v>
      </c>
      <c r="B313" s="61" t="s">
        <v>152</v>
      </c>
      <c r="C313" s="61" t="s">
        <v>149</v>
      </c>
      <c r="D313" s="62" t="s">
        <v>287</v>
      </c>
      <c r="E313" s="71" t="s">
        <v>177</v>
      </c>
      <c r="F313" s="72">
        <v>3573</v>
      </c>
      <c r="G313" s="73" t="s">
        <v>233</v>
      </c>
      <c r="H313" s="74">
        <f>[1]!'@CTA[8-2-1-3-5-3573,F,4,#6]'</f>
        <v>0</v>
      </c>
      <c r="I313" s="74">
        <f>[1]!'@CTA[8-2-3-3-5-3573,F,4,#6]'</f>
        <v>0</v>
      </c>
      <c r="J313" s="75">
        <f>[1]!'@CTA[8-2-1-3-5-3573,F,4,#6]'+[1]!'@CTA[8-2-3-3-5-3573,F,4,#6]'</f>
        <v>0</v>
      </c>
      <c r="K313" s="76">
        <f>[1]!'@CTA[8-2-4-3-5-3573,J,4,#6]'</f>
        <v>0</v>
      </c>
      <c r="L313" s="76">
        <f>[1]!'@CTA[8-2-5-3-5-3573,J,4,#6]'</f>
        <v>0</v>
      </c>
      <c r="M313" s="76">
        <f>[1]!'@CTA[8-2-6-3-5-3573,J,4,#6]'</f>
        <v>0</v>
      </c>
      <c r="N313" s="74">
        <f>[1]!'@CTA[8-2-7-3-5-3573,F,4,#6]'</f>
        <v>0</v>
      </c>
      <c r="O313" s="66">
        <f t="shared" si="19"/>
        <v>0</v>
      </c>
    </row>
    <row r="314" spans="1:15" ht="108" x14ac:dyDescent="0.2">
      <c r="A314" s="67" t="s">
        <v>286</v>
      </c>
      <c r="B314" s="61" t="s">
        <v>152</v>
      </c>
      <c r="C314" s="61" t="s">
        <v>149</v>
      </c>
      <c r="D314" s="62" t="s">
        <v>287</v>
      </c>
      <c r="E314" s="71" t="s">
        <v>177</v>
      </c>
      <c r="F314" s="72">
        <v>3574</v>
      </c>
      <c r="G314" s="73" t="s">
        <v>234</v>
      </c>
      <c r="H314" s="74">
        <f>[1]!'@CTA[8-2-1-3-5-3574,F,4,#6]'</f>
        <v>0</v>
      </c>
      <c r="I314" s="74">
        <f>[1]!'@CTA[8-2-3-3-5-3574,F,4,#6]'</f>
        <v>0</v>
      </c>
      <c r="J314" s="75">
        <f>[1]!'@CTA[8-2-1-3-5-3574,F,4,#6]'+[1]!'@CTA[8-2-3-3-5-3574,F,4,#6]'</f>
        <v>0</v>
      </c>
      <c r="K314" s="76">
        <f>[1]!'@CTA[8-2-4-3-5-3574,J,4,#6]'</f>
        <v>0</v>
      </c>
      <c r="L314" s="76">
        <f>[1]!'@CTA[8-2-5-3-5-3574,J,4,#6]'</f>
        <v>0</v>
      </c>
      <c r="M314" s="76">
        <f>[1]!'@CTA[8-2-6-3-5-3574,J,4,#6]'</f>
        <v>0</v>
      </c>
      <c r="N314" s="74">
        <f>[1]!'@CTA[8-2-7-3-5-3574,F,4,#6]'</f>
        <v>0</v>
      </c>
      <c r="O314" s="66">
        <f t="shared" si="19"/>
        <v>0</v>
      </c>
    </row>
    <row r="315" spans="1:15" ht="108" x14ac:dyDescent="0.2">
      <c r="A315" s="67" t="s">
        <v>286</v>
      </c>
      <c r="B315" s="61" t="s">
        <v>152</v>
      </c>
      <c r="C315" s="61" t="s">
        <v>149</v>
      </c>
      <c r="D315" s="62" t="s">
        <v>287</v>
      </c>
      <c r="E315" s="71" t="s">
        <v>177</v>
      </c>
      <c r="F315" s="72">
        <v>3575</v>
      </c>
      <c r="G315" s="73" t="s">
        <v>235</v>
      </c>
      <c r="H315" s="74">
        <f>[1]!'@CTA[8-2-1-3-5-3575,F,4,#6]'</f>
        <v>0</v>
      </c>
      <c r="I315" s="74">
        <f>[1]!'@CTA[8-2-3-3-5-3575,F,4,#6]'</f>
        <v>0</v>
      </c>
      <c r="J315" s="75">
        <f>[1]!'@CTA[8-2-1-3-5-3575,F,4,#6]'+[1]!'@CTA[8-2-3-3-5-3575,F,4,#6]'</f>
        <v>0</v>
      </c>
      <c r="K315" s="76">
        <f>[1]!'@CTA[8-2-4-3-5-3575,J,4,#6]'</f>
        <v>0</v>
      </c>
      <c r="L315" s="76">
        <f>[1]!'@CTA[8-2-5-3-5-3575,J,4,#6]'</f>
        <v>0</v>
      </c>
      <c r="M315" s="76">
        <f>[1]!'@CTA[8-2-6-3-5-3575,J,4,#6]'</f>
        <v>0</v>
      </c>
      <c r="N315" s="74">
        <f>[1]!'@CTA[8-2-7-3-5-3575,F,4,#6]'</f>
        <v>0</v>
      </c>
      <c r="O315" s="66">
        <f t="shared" si="19"/>
        <v>0</v>
      </c>
    </row>
    <row r="316" spans="1:15" ht="108" x14ac:dyDescent="0.2">
      <c r="A316" s="67" t="s">
        <v>286</v>
      </c>
      <c r="B316" s="61" t="s">
        <v>152</v>
      </c>
      <c r="C316" s="61" t="s">
        <v>149</v>
      </c>
      <c r="D316" s="62" t="s">
        <v>287</v>
      </c>
      <c r="E316" s="71" t="s">
        <v>177</v>
      </c>
      <c r="F316" s="72">
        <v>3576</v>
      </c>
      <c r="G316" s="73" t="s">
        <v>236</v>
      </c>
      <c r="H316" s="74">
        <f>[1]!'@CTA[8-2-1-3-5-3576,F,4,#6]'</f>
        <v>0</v>
      </c>
      <c r="I316" s="74">
        <f>[1]!'@CTA[8-2-3-3-5-3576,F,4,#6]'</f>
        <v>0</v>
      </c>
      <c r="J316" s="75">
        <f>[1]!'@CTA[8-2-1-3-5-3576,F,4,#6]'+[1]!'@CTA[8-2-3-3-5-3576,F,4,#6]'</f>
        <v>0</v>
      </c>
      <c r="K316" s="76">
        <f>[1]!'@CTA[8-2-4-3-5-3576,J,4,#6]'</f>
        <v>0</v>
      </c>
      <c r="L316" s="76">
        <f>[1]!'@CTA[8-2-5-3-5-3576,J,4,#6]'</f>
        <v>0</v>
      </c>
      <c r="M316" s="76">
        <f>[1]!'@CTA[8-2-6-3-5-3576,J,4,#6]'</f>
        <v>0</v>
      </c>
      <c r="N316" s="74">
        <f>[1]!'@CTA[8-2-7-3-5-3576,F,4,#6]'</f>
        <v>0</v>
      </c>
      <c r="O316" s="66">
        <f t="shared" si="19"/>
        <v>0</v>
      </c>
    </row>
    <row r="317" spans="1:15" ht="108" x14ac:dyDescent="0.2">
      <c r="A317" s="67" t="s">
        <v>286</v>
      </c>
      <c r="B317" s="61" t="s">
        <v>152</v>
      </c>
      <c r="C317" s="61" t="s">
        <v>149</v>
      </c>
      <c r="D317" s="62" t="s">
        <v>287</v>
      </c>
      <c r="E317" s="71" t="s">
        <v>177</v>
      </c>
      <c r="F317" s="72">
        <v>3577</v>
      </c>
      <c r="G317" s="73" t="s">
        <v>237</v>
      </c>
      <c r="H317" s="74">
        <f>[1]!'@CTA[8-2-1-3-5-3577,F,4,#6]'</f>
        <v>0</v>
      </c>
      <c r="I317" s="74">
        <f>[1]!'@CTA[8-2-3-3-5-3577,F,4,#6]'</f>
        <v>0</v>
      </c>
      <c r="J317" s="75">
        <f>[1]!'@CTA[8-2-1-3-5-3577,F,4,#6]'+[1]!'@CTA[8-2-3-3-5-3577,F,4,#6]'</f>
        <v>0</v>
      </c>
      <c r="K317" s="76">
        <f>[1]!'@CTA[8-2-4-3-5-3577,J,4,#6]'</f>
        <v>0</v>
      </c>
      <c r="L317" s="76">
        <f>[1]!'@CTA[8-2-5-3-5-3577,J,4,#6]'</f>
        <v>0</v>
      </c>
      <c r="M317" s="76">
        <f>[1]!'@CTA[8-2-6-3-5-3577,J,4,#6]'</f>
        <v>0</v>
      </c>
      <c r="N317" s="74">
        <f>[1]!'@CTA[8-2-7-3-5-3577,F,4,#6]'</f>
        <v>0</v>
      </c>
      <c r="O317" s="66">
        <f t="shared" si="19"/>
        <v>0</v>
      </c>
    </row>
    <row r="318" spans="1:15" ht="108" x14ac:dyDescent="0.2">
      <c r="A318" s="67" t="s">
        <v>286</v>
      </c>
      <c r="B318" s="61" t="s">
        <v>152</v>
      </c>
      <c r="C318" s="61" t="s">
        <v>149</v>
      </c>
      <c r="D318" s="62" t="s">
        <v>287</v>
      </c>
      <c r="E318" s="71" t="s">
        <v>177</v>
      </c>
      <c r="F318" s="72">
        <v>3611</v>
      </c>
      <c r="G318" s="73" t="s">
        <v>238</v>
      </c>
      <c r="H318" s="74">
        <f>[1]!'@CTA[8-2-1-3-6-3611,F,4,#6]'</f>
        <v>0</v>
      </c>
      <c r="I318" s="74">
        <f>[1]!'@CTA[8-2-3-3-6-3611,F,4,#6]'</f>
        <v>0</v>
      </c>
      <c r="J318" s="75">
        <f>[1]!'@CTA[8-2-1-3-6-3611,F,4,#6]'+[1]!'@CTA[8-2-3-3-6-3611,F,4,#6]'</f>
        <v>0</v>
      </c>
      <c r="K318" s="76">
        <f>[1]!'@CTA[8-2-4-3-6-3611,J,4,#6]'</f>
        <v>0</v>
      </c>
      <c r="L318" s="76">
        <f>[1]!'@CTA[8-2-5-3-6-3611,J,4,#6]'</f>
        <v>0</v>
      </c>
      <c r="M318" s="76">
        <f>[1]!'@CTA[8-2-6-3-6-3611,J,4,#6]'</f>
        <v>0</v>
      </c>
      <c r="N318" s="74">
        <f>[1]!'@CTA[8-2-7-3-6-3611,F,4,#6]'</f>
        <v>0</v>
      </c>
      <c r="O318" s="66">
        <f t="shared" si="19"/>
        <v>0</v>
      </c>
    </row>
    <row r="319" spans="1:15" ht="108" x14ac:dyDescent="0.2">
      <c r="A319" s="67" t="s">
        <v>286</v>
      </c>
      <c r="B319" s="61" t="s">
        <v>152</v>
      </c>
      <c r="C319" s="61" t="s">
        <v>149</v>
      </c>
      <c r="D319" s="62" t="s">
        <v>287</v>
      </c>
      <c r="E319" s="71" t="s">
        <v>177</v>
      </c>
      <c r="F319" s="72">
        <v>3721</v>
      </c>
      <c r="G319" s="73" t="s">
        <v>239</v>
      </c>
      <c r="H319" s="74">
        <f>[1]!'@CTA[8-2-1-3-7-3721,F,4,#6]'</f>
        <v>900</v>
      </c>
      <c r="I319" s="74">
        <f>[1]!'@CTA[8-2-3-3-7-3721,F,4,#6]'</f>
        <v>0</v>
      </c>
      <c r="J319" s="75">
        <f>[1]!'@CTA[8-2-1-3-7-3721,F,4,#6]'+[1]!'@CTA[8-2-3-3-7-3721,F,4,#6]'</f>
        <v>900</v>
      </c>
      <c r="K319" s="76">
        <f>[1]!'@CTA[8-2-4-3-7-3721,J,4,#6]'</f>
        <v>0</v>
      </c>
      <c r="L319" s="76">
        <f>[1]!'@CTA[8-2-5-3-7-3721,J,4,#6]'</f>
        <v>0</v>
      </c>
      <c r="M319" s="76">
        <f>[1]!'@CTA[8-2-6-3-7-3721,J,4,#6]'</f>
        <v>0</v>
      </c>
      <c r="N319" s="74">
        <f>[1]!'@CTA[8-2-7-3-7-3721,F,4,#6]'</f>
        <v>0</v>
      </c>
      <c r="O319" s="66">
        <f t="shared" si="19"/>
        <v>900</v>
      </c>
    </row>
    <row r="320" spans="1:15" ht="108" x14ac:dyDescent="0.2">
      <c r="A320" s="67" t="s">
        <v>286</v>
      </c>
      <c r="B320" s="61" t="s">
        <v>152</v>
      </c>
      <c r="C320" s="61" t="s">
        <v>149</v>
      </c>
      <c r="D320" s="62" t="s">
        <v>287</v>
      </c>
      <c r="E320" s="71" t="s">
        <v>177</v>
      </c>
      <c r="F320" s="72">
        <v>3722</v>
      </c>
      <c r="G320" s="73" t="s">
        <v>240</v>
      </c>
      <c r="H320" s="74">
        <f>[1]!'@CTA[8-2-1-3-7-3722,F,4,#6]'</f>
        <v>0</v>
      </c>
      <c r="I320" s="74">
        <f>[1]!'@CTA[8-2-3-3-7-3722,F,4,#6]'</f>
        <v>0</v>
      </c>
      <c r="J320" s="75">
        <f>[1]!'@CTA[8-2-1-3-7-3722,F,4,#6]'+[1]!'@CTA[8-2-3-3-7-3722,F,4,#6]'</f>
        <v>0</v>
      </c>
      <c r="K320" s="76">
        <f>[1]!'@CTA[8-2-4-3-7-3722,J,4,#6]'</f>
        <v>0</v>
      </c>
      <c r="L320" s="76">
        <f>[1]!'@CTA[8-2-5-3-7-3722,J,4,#6]'</f>
        <v>0</v>
      </c>
      <c r="M320" s="76">
        <f>[1]!'@CTA[8-2-6-3-7-3722,J,4,#6]'</f>
        <v>0</v>
      </c>
      <c r="N320" s="74">
        <f>[1]!'@CTA[8-2-7-3-7-3722,F,4,#6]'</f>
        <v>0</v>
      </c>
      <c r="O320" s="66">
        <f t="shared" si="19"/>
        <v>0</v>
      </c>
    </row>
    <row r="321" spans="1:15" ht="108" x14ac:dyDescent="0.2">
      <c r="A321" s="67" t="s">
        <v>286</v>
      </c>
      <c r="B321" s="61" t="s">
        <v>152</v>
      </c>
      <c r="C321" s="61" t="s">
        <v>149</v>
      </c>
      <c r="D321" s="62" t="s">
        <v>287</v>
      </c>
      <c r="E321" s="71" t="s">
        <v>177</v>
      </c>
      <c r="F321" s="72">
        <v>3751</v>
      </c>
      <c r="G321" s="73" t="s">
        <v>241</v>
      </c>
      <c r="H321" s="74">
        <f>[1]!'@CTA[8-2-1-3-7-3751,F,4,#6]'</f>
        <v>1800</v>
      </c>
      <c r="I321" s="74">
        <f>[1]!'@CTA[8-2-3-3-7-3751,F,4,#6]'</f>
        <v>0</v>
      </c>
      <c r="J321" s="75">
        <f>[1]!'@CTA[8-2-1-3-7-3751,F,4,#6]'+[1]!'@CTA[8-2-3-3-7-3751,F,4,#6]'</f>
        <v>1800</v>
      </c>
      <c r="K321" s="76">
        <f>[1]!'@CTA[8-2-4-3-7-3751,J,4,#6]'</f>
        <v>0</v>
      </c>
      <c r="L321" s="76">
        <f>[1]!'@CTA[8-2-5-3-7-3751,J,4,#6]'</f>
        <v>0</v>
      </c>
      <c r="M321" s="76">
        <f>[1]!'@CTA[8-2-6-3-7-3751,J,4,#6]'</f>
        <v>0</v>
      </c>
      <c r="N321" s="74">
        <f>[1]!'@CTA[8-2-7-3-7-3751,F,4,#6]'</f>
        <v>0</v>
      </c>
      <c r="O321" s="66">
        <f t="shared" si="19"/>
        <v>1800</v>
      </c>
    </row>
    <row r="322" spans="1:15" ht="108" x14ac:dyDescent="0.2">
      <c r="A322" s="67" t="s">
        <v>286</v>
      </c>
      <c r="B322" s="61" t="s">
        <v>152</v>
      </c>
      <c r="C322" s="61" t="s">
        <v>149</v>
      </c>
      <c r="D322" s="62" t="s">
        <v>287</v>
      </c>
      <c r="E322" s="71" t="s">
        <v>177</v>
      </c>
      <c r="F322" s="72">
        <v>3821</v>
      </c>
      <c r="G322" s="73" t="s">
        <v>242</v>
      </c>
      <c r="H322" s="74">
        <f>[1]!'@CTA[8-2-1-3-8-3821,F,4,#6]'</f>
        <v>0</v>
      </c>
      <c r="I322" s="74">
        <f>[1]!'@CTA[8-2-3-3-8-3821,F,4,#6]'</f>
        <v>0</v>
      </c>
      <c r="J322" s="75">
        <f>[1]!'@CTA[8-2-1-3-8-3821,F,4,#6]'+[1]!'@CTA[8-2-3-3-8-3821,F,4,#6]'</f>
        <v>0</v>
      </c>
      <c r="K322" s="76">
        <f>[1]!'@CTA[8-2-4-3-8-3821,J,4,#6]'</f>
        <v>0</v>
      </c>
      <c r="L322" s="76">
        <f>[1]!'@CTA[8-2-5-3-8-3821,J,4,#6]'</f>
        <v>0</v>
      </c>
      <c r="M322" s="76">
        <f>[1]!'@CTA[8-2-6-3-8-3821,J,4,#6]'</f>
        <v>0</v>
      </c>
      <c r="N322" s="74">
        <f>[1]!'@CTA[8-2-7-3-8-3821,F,4,#6]'</f>
        <v>0</v>
      </c>
      <c r="O322" s="66">
        <f t="shared" si="19"/>
        <v>0</v>
      </c>
    </row>
    <row r="323" spans="1:15" ht="108" x14ac:dyDescent="0.2">
      <c r="A323" s="67" t="s">
        <v>286</v>
      </c>
      <c r="B323" s="61" t="s">
        <v>152</v>
      </c>
      <c r="C323" s="61" t="s">
        <v>149</v>
      </c>
      <c r="D323" s="62" t="s">
        <v>287</v>
      </c>
      <c r="E323" s="71" t="s">
        <v>177</v>
      </c>
      <c r="F323" s="72">
        <v>3822</v>
      </c>
      <c r="G323" s="73" t="s">
        <v>243</v>
      </c>
      <c r="H323" s="74">
        <f>[1]!'@CTA[8-2-1-3-8-3822,F,4,#6]'</f>
        <v>0</v>
      </c>
      <c r="I323" s="74">
        <f>[1]!'@CTA[8-2-3-3-8-3822,F,4,#6]'</f>
        <v>0</v>
      </c>
      <c r="J323" s="75">
        <f>[1]!'@CTA[8-2-1-3-8-3822,F,4,#6]'+[1]!'@CTA[8-2-3-3-8-3822,F,4,#6]'</f>
        <v>0</v>
      </c>
      <c r="K323" s="76">
        <f>[1]!'@CTA[8-2-4-3-8-3822,J,4,#6]'</f>
        <v>0</v>
      </c>
      <c r="L323" s="76">
        <f>[1]!'@CTA[8-2-5-3-8-3822,J,4,#6]'</f>
        <v>0</v>
      </c>
      <c r="M323" s="76">
        <f>[1]!'@CTA[8-2-6-3-8-3822,J,4,#6]'</f>
        <v>0</v>
      </c>
      <c r="N323" s="74">
        <f>[1]!'@CTA[8-2-7-3-8-3822,F,4,#6]'</f>
        <v>0</v>
      </c>
      <c r="O323" s="66">
        <f t="shared" si="19"/>
        <v>0</v>
      </c>
    </row>
    <row r="324" spans="1:15" ht="108" x14ac:dyDescent="0.2">
      <c r="A324" s="67" t="s">
        <v>286</v>
      </c>
      <c r="B324" s="61" t="s">
        <v>152</v>
      </c>
      <c r="C324" s="61" t="s">
        <v>149</v>
      </c>
      <c r="D324" s="62" t="s">
        <v>287</v>
      </c>
      <c r="E324" s="71" t="s">
        <v>177</v>
      </c>
      <c r="F324" s="72">
        <v>3831</v>
      </c>
      <c r="G324" s="73" t="s">
        <v>244</v>
      </c>
      <c r="H324" s="74">
        <f>[1]!'@CTA[8-2-1-3-8-3831,F,4,#6]'</f>
        <v>0</v>
      </c>
      <c r="I324" s="74">
        <f>[1]!'@CTA[8-2-3-3-8-3831,F,4,#6]'</f>
        <v>0</v>
      </c>
      <c r="J324" s="75">
        <f>[1]!'@CTA[8-2-1-3-8-3831,F,4,#6]'+[1]!'@CTA[8-2-3-3-8-3831,F,4,#6]'</f>
        <v>0</v>
      </c>
      <c r="K324" s="76">
        <f>[1]!'@CTA[8-2-4-3-8-3831,J,4,#6]'</f>
        <v>0</v>
      </c>
      <c r="L324" s="76">
        <f>[1]!'@CTA[8-2-5-3-8-3831,J,4,#6]'</f>
        <v>0</v>
      </c>
      <c r="M324" s="76">
        <f>[1]!'@CTA[8-2-6-3-8-3831,J,4,#6]'</f>
        <v>0</v>
      </c>
      <c r="N324" s="74">
        <f>[1]!'@CTA[8-2-7-3-8-3831,F,4,#6]'</f>
        <v>0</v>
      </c>
      <c r="O324" s="66">
        <f t="shared" si="19"/>
        <v>0</v>
      </c>
    </row>
    <row r="325" spans="1:15" ht="108" x14ac:dyDescent="0.2">
      <c r="A325" s="67" t="s">
        <v>286</v>
      </c>
      <c r="B325" s="61" t="s">
        <v>152</v>
      </c>
      <c r="C325" s="61" t="s">
        <v>149</v>
      </c>
      <c r="D325" s="62" t="s">
        <v>287</v>
      </c>
      <c r="E325" s="71" t="s">
        <v>177</v>
      </c>
      <c r="F325" s="72">
        <v>3851</v>
      </c>
      <c r="G325" s="73" t="s">
        <v>245</v>
      </c>
      <c r="H325" s="74">
        <f>[1]!'@CTA[8-2-1-3-8-3851,F,4,#6]'</f>
        <v>0</v>
      </c>
      <c r="I325" s="74">
        <f>[1]!'@CTA[8-2-3-3-8-3851,F,4,#6]'</f>
        <v>0</v>
      </c>
      <c r="J325" s="75">
        <f>[1]!'@CTA[8-2-1-3-8-3851,F,4,#6]'+[1]!'@CTA[8-2-3-3-8-3851,F,4,#6]'</f>
        <v>0</v>
      </c>
      <c r="K325" s="76">
        <f>[1]!'@CTA[8-2-4-3-8-3851,J,4,#6]'</f>
        <v>0</v>
      </c>
      <c r="L325" s="76">
        <f>[1]!'@CTA[8-2-5-3-8-3851,J,4,#6]'</f>
        <v>0</v>
      </c>
      <c r="M325" s="76">
        <f>[1]!'@CTA[8-2-6-3-8-3851,J,4,#6]'</f>
        <v>0</v>
      </c>
      <c r="N325" s="74">
        <f>[1]!'@CTA[8-2-7-3-8-3851,F,4,#6]'</f>
        <v>0</v>
      </c>
      <c r="O325" s="66">
        <f t="shared" si="19"/>
        <v>0</v>
      </c>
    </row>
    <row r="326" spans="1:15" ht="108" x14ac:dyDescent="0.2">
      <c r="A326" s="67" t="s">
        <v>286</v>
      </c>
      <c r="B326" s="61" t="s">
        <v>152</v>
      </c>
      <c r="C326" s="61" t="s">
        <v>149</v>
      </c>
      <c r="D326" s="62" t="s">
        <v>287</v>
      </c>
      <c r="E326" s="71" t="s">
        <v>177</v>
      </c>
      <c r="F326" s="72">
        <v>3921</v>
      </c>
      <c r="G326" s="73" t="s">
        <v>246</v>
      </c>
      <c r="H326" s="74">
        <f>[1]!'@CTA[8-2-1-3-9-3921,F,4,#6]'</f>
        <v>0</v>
      </c>
      <c r="I326" s="74">
        <f>[1]!'@CTA[8-2-3-3-9-3921,F,4,#6]'</f>
        <v>0</v>
      </c>
      <c r="J326" s="75">
        <f>[1]!'@CTA[8-2-1-3-9-3921,F,4,#6]'+[1]!'@CTA[8-2-3-3-9-3921,F,4,#6]'</f>
        <v>0</v>
      </c>
      <c r="K326" s="76">
        <f>[1]!'@CTA[8-2-4-3-9-3921,J,4,#6]'</f>
        <v>0</v>
      </c>
      <c r="L326" s="76">
        <f>[1]!'@CTA[8-2-5-3-9-3921,J,4,#6]'</f>
        <v>0</v>
      </c>
      <c r="M326" s="76">
        <f>[1]!'@CTA[8-2-6-3-9-3921,J,4,#6]'</f>
        <v>0</v>
      </c>
      <c r="N326" s="74">
        <f>[1]!'@CTA[8-2-7-3-9-3921,F,4,#6]'</f>
        <v>0</v>
      </c>
      <c r="O326" s="66">
        <f t="shared" ref="O326:O389" si="21">J326-L326</f>
        <v>0</v>
      </c>
    </row>
    <row r="327" spans="1:15" ht="108" x14ac:dyDescent="0.2">
      <c r="A327" s="67" t="s">
        <v>286</v>
      </c>
      <c r="B327" s="61" t="s">
        <v>152</v>
      </c>
      <c r="C327" s="61" t="s">
        <v>149</v>
      </c>
      <c r="D327" s="62" t="s">
        <v>287</v>
      </c>
      <c r="E327" s="71" t="s">
        <v>177</v>
      </c>
      <c r="F327" s="72">
        <v>3922</v>
      </c>
      <c r="G327" s="73" t="s">
        <v>247</v>
      </c>
      <c r="H327" s="74">
        <f>[1]!'@CTA[8-2-1-3-9-3922,F,4,#6]'</f>
        <v>0</v>
      </c>
      <c r="I327" s="74">
        <f>[1]!'@CTA[8-2-3-3-9-3922,F,4,#6]'</f>
        <v>0</v>
      </c>
      <c r="J327" s="75">
        <f>[1]!'@CTA[8-2-1-3-9-3922,F,4,#6]'+[1]!'@CTA[8-2-3-3-9-3922,F,4,#6]'</f>
        <v>0</v>
      </c>
      <c r="K327" s="76">
        <f>[1]!'@CTA[8-2-4-3-9-3922,J,4,#6]'</f>
        <v>0</v>
      </c>
      <c r="L327" s="76">
        <f>[1]!'@CTA[8-2-5-3-9-3922,J,4,#6]'</f>
        <v>0</v>
      </c>
      <c r="M327" s="76">
        <f>[1]!'@CTA[8-2-6-3-9-3922,J,4,#6]'</f>
        <v>0</v>
      </c>
      <c r="N327" s="74">
        <f>[1]!'@CTA[8-2-7-3-9-3922,F,4,#6]'</f>
        <v>0</v>
      </c>
      <c r="O327" s="66">
        <f t="shared" si="21"/>
        <v>0</v>
      </c>
    </row>
    <row r="328" spans="1:15" ht="108" x14ac:dyDescent="0.2">
      <c r="A328" s="67" t="s">
        <v>286</v>
      </c>
      <c r="B328" s="61" t="s">
        <v>152</v>
      </c>
      <c r="C328" s="61" t="s">
        <v>149</v>
      </c>
      <c r="D328" s="62" t="s">
        <v>287</v>
      </c>
      <c r="E328" s="71" t="s">
        <v>177</v>
      </c>
      <c r="F328" s="72">
        <v>3923</v>
      </c>
      <c r="G328" s="73" t="s">
        <v>248</v>
      </c>
      <c r="H328" s="74">
        <f>[1]!'@CTA[8-2-1-3-9-3923,F,4,#6]'</f>
        <v>0</v>
      </c>
      <c r="I328" s="74">
        <f>[1]!'@CTA[8-2-3-3-9-3923,F,4,#6]'</f>
        <v>0</v>
      </c>
      <c r="J328" s="75">
        <f>[1]!'@CTA[8-2-1-3-9-3923,F,4,#6]'+[1]!'@CTA[8-2-3-3-9-3923,F,4,#6]'</f>
        <v>0</v>
      </c>
      <c r="K328" s="76">
        <f>[1]!'@CTA[8-2-4-3-9-3923,J,4,#6]'</f>
        <v>0</v>
      </c>
      <c r="L328" s="76">
        <f>[1]!'@CTA[8-2-5-3-9-3923,J,4,#6]'</f>
        <v>0</v>
      </c>
      <c r="M328" s="76">
        <f>[1]!'@CTA[8-2-6-3-9-3923,J,4,#6]'</f>
        <v>0</v>
      </c>
      <c r="N328" s="74">
        <f>[1]!'@CTA[8-2-7-3-9-3923,F,4,#6]'</f>
        <v>0</v>
      </c>
      <c r="O328" s="66">
        <f t="shared" si="21"/>
        <v>0</v>
      </c>
    </row>
    <row r="329" spans="1:15" ht="108" x14ac:dyDescent="0.2">
      <c r="A329" s="67" t="s">
        <v>286</v>
      </c>
      <c r="B329" s="61" t="s">
        <v>152</v>
      </c>
      <c r="C329" s="61" t="s">
        <v>149</v>
      </c>
      <c r="D329" s="62" t="s">
        <v>287</v>
      </c>
      <c r="E329" s="71" t="s">
        <v>177</v>
      </c>
      <c r="F329" s="72">
        <v>3924</v>
      </c>
      <c r="G329" s="73" t="s">
        <v>249</v>
      </c>
      <c r="H329" s="74">
        <f>[1]!'@CTA[8-2-1-3-9-3924,F,4,#6]'</f>
        <v>767</v>
      </c>
      <c r="I329" s="74">
        <f>[1]!'@CTA[8-2-3-3-9-3924,F,4,#6]'</f>
        <v>0</v>
      </c>
      <c r="J329" s="75">
        <f>[1]!'@CTA[8-2-1-3-9-3924,F,4,#6]'+[1]!'@CTA[8-2-3-3-9-3924,F,4,#6]'</f>
        <v>767</v>
      </c>
      <c r="K329" s="76">
        <f>[1]!'@CTA[8-2-4-3-9-3924,J,4,#6]'</f>
        <v>781.87</v>
      </c>
      <c r="L329" s="76">
        <f>[1]!'@CTA[8-2-5-3-9-3924,J,4,#6]'</f>
        <v>781.87</v>
      </c>
      <c r="M329" s="76">
        <f>[1]!'@CTA[8-2-6-3-9-3924,J,4,#6]'</f>
        <v>781.87</v>
      </c>
      <c r="N329" s="74">
        <f>[1]!'@CTA[8-2-7-3-9-3924,F,4,#6]'</f>
        <v>781.87</v>
      </c>
      <c r="O329" s="66">
        <f t="shared" si="21"/>
        <v>-14.870000000000005</v>
      </c>
    </row>
    <row r="330" spans="1:15" ht="108" x14ac:dyDescent="0.2">
      <c r="A330" s="67" t="s">
        <v>286</v>
      </c>
      <c r="B330" s="61" t="s">
        <v>152</v>
      </c>
      <c r="C330" s="61" t="s">
        <v>149</v>
      </c>
      <c r="D330" s="62" t="s">
        <v>287</v>
      </c>
      <c r="E330" s="71" t="s">
        <v>177</v>
      </c>
      <c r="F330" s="72">
        <v>3925</v>
      </c>
      <c r="G330" s="73" t="s">
        <v>250</v>
      </c>
      <c r="H330" s="74">
        <f>[1]!'@CTA[8-2-1-3-9-3925,F,4,#6]'</f>
        <v>0</v>
      </c>
      <c r="I330" s="74">
        <f>[1]!'@CTA[8-2-3-3-9-3925,F,4,#6]'</f>
        <v>0</v>
      </c>
      <c r="J330" s="75">
        <f>[1]!'@CTA[8-2-1-3-9-3925,F,4,#6]'+[1]!'@CTA[8-2-3-3-9-3925,F,4,#6]'</f>
        <v>0</v>
      </c>
      <c r="K330" s="76">
        <f>[1]!'@CTA[8-2-4-3-9-3925,J,4,#6]'</f>
        <v>0</v>
      </c>
      <c r="L330" s="76">
        <f>[1]!'@CTA[8-2-5-3-9-3925,J,4,#6]'</f>
        <v>0</v>
      </c>
      <c r="M330" s="76">
        <f>[1]!'@CTA[8-2-6-3-9-3925,J,4,#6]'</f>
        <v>0</v>
      </c>
      <c r="N330" s="74">
        <f>[1]!'@CTA[8-2-7-3-9-3925,F,4,#6]'</f>
        <v>0</v>
      </c>
      <c r="O330" s="66">
        <f t="shared" si="21"/>
        <v>0</v>
      </c>
    </row>
    <row r="331" spans="1:15" ht="108" x14ac:dyDescent="0.2">
      <c r="A331" s="67" t="s">
        <v>286</v>
      </c>
      <c r="B331" s="61" t="s">
        <v>152</v>
      </c>
      <c r="C331" s="61" t="s">
        <v>149</v>
      </c>
      <c r="D331" s="62" t="s">
        <v>287</v>
      </c>
      <c r="E331" s="71" t="s">
        <v>177</v>
      </c>
      <c r="F331" s="72">
        <v>3926</v>
      </c>
      <c r="G331" s="73" t="s">
        <v>251</v>
      </c>
      <c r="H331" s="74">
        <f>[1]!'@CTA[8-2-1-3-9-3926,F,4,#6]'</f>
        <v>0</v>
      </c>
      <c r="I331" s="74">
        <f>[1]!'@CTA[8-2-3-3-9-3926,F,4,#6]'</f>
        <v>0</v>
      </c>
      <c r="J331" s="75">
        <f>[1]!'@CTA[8-2-1-3-9-3926,F,4,#6]'+[1]!'@CTA[8-2-3-3-9-3926,F,4,#6]'</f>
        <v>0</v>
      </c>
      <c r="K331" s="76">
        <f>[1]!'@CTA[8-2-4-3-9-3926,J,4,#6]'</f>
        <v>0</v>
      </c>
      <c r="L331" s="76">
        <f>[1]!'@CTA[8-2-5-3-9-3926,J,4,#6]'</f>
        <v>0</v>
      </c>
      <c r="M331" s="76">
        <f>[1]!'@CTA[8-2-6-3-9-3926,J,4,#6]'</f>
        <v>0</v>
      </c>
      <c r="N331" s="74">
        <f>[1]!'@CTA[8-2-7-3-9-3926,F,4,#6]'</f>
        <v>0</v>
      </c>
      <c r="O331" s="66">
        <f t="shared" si="21"/>
        <v>0</v>
      </c>
    </row>
    <row r="332" spans="1:15" ht="108" x14ac:dyDescent="0.2">
      <c r="A332" s="67" t="s">
        <v>286</v>
      </c>
      <c r="B332" s="61" t="s">
        <v>152</v>
      </c>
      <c r="C332" s="61" t="s">
        <v>149</v>
      </c>
      <c r="D332" s="62" t="s">
        <v>287</v>
      </c>
      <c r="E332" s="71" t="s">
        <v>177</v>
      </c>
      <c r="F332" s="72">
        <v>3961</v>
      </c>
      <c r="G332" s="73" t="s">
        <v>252</v>
      </c>
      <c r="H332" s="74">
        <f>[1]!'@CTA[8-2-1-3-9-3961,F,4,#6]'</f>
        <v>0</v>
      </c>
      <c r="I332" s="74">
        <f>[1]!'@CTA[8-2-3-3-9-3961,F,4,#6]'</f>
        <v>0</v>
      </c>
      <c r="J332" s="75">
        <f>[1]!'@CTA[8-2-1-3-9-3961,F,4,#6]'+[1]!'@CTA[8-2-3-3-9-3961,F,4,#6]'</f>
        <v>0</v>
      </c>
      <c r="K332" s="76">
        <f>[1]!'@CTA[8-2-4-3-9-3961,J,4,#6]'</f>
        <v>0</v>
      </c>
      <c r="L332" s="76">
        <f>[1]!'@CTA[8-2-5-3-9-3961,J,4,#6]'</f>
        <v>0</v>
      </c>
      <c r="M332" s="76">
        <f>[1]!'@CTA[8-2-6-3-9-3961,J,4,#6]'</f>
        <v>0</v>
      </c>
      <c r="N332" s="74">
        <f>[1]!'@CTA[8-2-7-3-9-3961,F,4,#6]'</f>
        <v>0</v>
      </c>
      <c r="O332" s="66">
        <f t="shared" si="21"/>
        <v>0</v>
      </c>
    </row>
    <row r="333" spans="1:15" ht="108" x14ac:dyDescent="0.2">
      <c r="A333" s="67" t="s">
        <v>286</v>
      </c>
      <c r="B333" s="61" t="s">
        <v>152</v>
      </c>
      <c r="C333" s="61" t="s">
        <v>149</v>
      </c>
      <c r="D333" s="62" t="s">
        <v>287</v>
      </c>
      <c r="E333" s="71" t="s">
        <v>177</v>
      </c>
      <c r="F333" s="72">
        <v>3962</v>
      </c>
      <c r="G333" s="73" t="s">
        <v>253</v>
      </c>
      <c r="H333" s="74">
        <f>[1]!'@CTA[8-2-1-3-9-3962,F,4,#6]'</f>
        <v>507</v>
      </c>
      <c r="I333" s="74">
        <f>[1]!'@CTA[8-2-3-3-9-3962,F,4,#6]'</f>
        <v>0</v>
      </c>
      <c r="J333" s="75">
        <f>[1]!'@CTA[8-2-1-3-9-3962,F,4,#6]'+[1]!'@CTA[8-2-3-3-9-3962,F,4,#6]'</f>
        <v>507</v>
      </c>
      <c r="K333" s="76">
        <f>[1]!'@CTA[8-2-4-3-9-3962,J,4,#6]'</f>
        <v>5330</v>
      </c>
      <c r="L333" s="76">
        <f>[1]!'@CTA[8-2-5-3-9-3962,J,4,#6]'</f>
        <v>5330</v>
      </c>
      <c r="M333" s="76">
        <f>[1]!'@CTA[8-2-6-3-9-3962,J,4,#6]'</f>
        <v>5330</v>
      </c>
      <c r="N333" s="74">
        <f>[1]!'@CTA[8-2-7-3-9-3962,F,4,#6]'</f>
        <v>5330</v>
      </c>
      <c r="O333" s="66">
        <f t="shared" si="21"/>
        <v>-4823</v>
      </c>
    </row>
    <row r="334" spans="1:15" ht="108" x14ac:dyDescent="0.2">
      <c r="A334" s="67" t="s">
        <v>286</v>
      </c>
      <c r="B334" s="61" t="s">
        <v>152</v>
      </c>
      <c r="C334" s="61" t="s">
        <v>149</v>
      </c>
      <c r="D334" s="62" t="s">
        <v>287</v>
      </c>
      <c r="E334" s="71" t="s">
        <v>254</v>
      </c>
      <c r="F334" s="72">
        <v>3981</v>
      </c>
      <c r="G334" s="73" t="s">
        <v>255</v>
      </c>
      <c r="H334" s="74">
        <f>[1]!'@CTA[8-2-1-3-9-3981,F,4,#6]'</f>
        <v>18792</v>
      </c>
      <c r="I334" s="74">
        <f>[1]!'@CTA[8-2-3-3-9-3981,F,4,#6]'</f>
        <v>2274.92</v>
      </c>
      <c r="J334" s="75">
        <f>[1]!'@CTA[8-2-1-3-9-3981,F,4,#6]'+[1]!'@CTA[8-2-3-3-9-3981,F,4,#6]'</f>
        <v>21066.92</v>
      </c>
      <c r="K334" s="76">
        <f>[1]!'@CTA[8-2-4-3-9-3981,J,4,#6]'</f>
        <v>4222.17</v>
      </c>
      <c r="L334" s="76">
        <f>[1]!'@CTA[8-2-5-3-9-3981,J,4,#6]'</f>
        <v>4222.17</v>
      </c>
      <c r="M334" s="76">
        <f>[1]!'@CTA[8-2-6-3-9-3981,J,4,#6]'</f>
        <v>4222.17</v>
      </c>
      <c r="N334" s="74">
        <f>[1]!'@CTA[8-2-7-3-9-3981,F,4,#6]'</f>
        <v>2573.9400000000087</v>
      </c>
      <c r="O334" s="66">
        <f t="shared" si="21"/>
        <v>16844.75</v>
      </c>
    </row>
    <row r="335" spans="1:15" ht="108" x14ac:dyDescent="0.2">
      <c r="A335" s="67" t="s">
        <v>286</v>
      </c>
      <c r="B335" s="61"/>
      <c r="C335" s="61" t="s">
        <v>149</v>
      </c>
      <c r="D335" s="62" t="s">
        <v>287</v>
      </c>
      <c r="E335" s="61"/>
      <c r="F335" s="63">
        <v>5000</v>
      </c>
      <c r="G335" s="77" t="s">
        <v>256</v>
      </c>
      <c r="H335" s="69">
        <f t="shared" ref="H335:N335" si="22">SUBTOTAL(9,H336:H346)</f>
        <v>2001</v>
      </c>
      <c r="I335" s="69">
        <f t="shared" si="22"/>
        <v>0</v>
      </c>
      <c r="J335" s="69">
        <f t="shared" si="22"/>
        <v>2001</v>
      </c>
      <c r="K335" s="70">
        <f t="shared" si="22"/>
        <v>8864.64</v>
      </c>
      <c r="L335" s="70">
        <f t="shared" si="22"/>
        <v>8864.64</v>
      </c>
      <c r="M335" s="70">
        <f t="shared" si="22"/>
        <v>8864.64</v>
      </c>
      <c r="N335" s="69">
        <f t="shared" si="22"/>
        <v>8864.64</v>
      </c>
      <c r="O335" s="66">
        <f t="shared" si="21"/>
        <v>-6863.6399999999994</v>
      </c>
    </row>
    <row r="336" spans="1:15" ht="108" x14ac:dyDescent="0.2">
      <c r="A336" s="67" t="s">
        <v>286</v>
      </c>
      <c r="B336" s="61" t="s">
        <v>152</v>
      </c>
      <c r="C336" s="61" t="s">
        <v>149</v>
      </c>
      <c r="D336" s="62" t="s">
        <v>287</v>
      </c>
      <c r="E336" s="71" t="s">
        <v>257</v>
      </c>
      <c r="F336" s="72">
        <v>5111</v>
      </c>
      <c r="G336" s="73" t="s">
        <v>258</v>
      </c>
      <c r="H336" s="74">
        <f>[1]!'@CTA[8-2-1-5-1-5111,F,4,#6]'</f>
        <v>2001</v>
      </c>
      <c r="I336" s="74">
        <f>[1]!'@CTA[8-2-3-5-1-5111,F,4,#6]'</f>
        <v>0</v>
      </c>
      <c r="J336" s="75">
        <f>[1]!'@CTA[8-2-1-5-1-5111,F,4,#6]'+[1]!'@CTA[8-2-3-5-1-5111,F,4,#6]'</f>
        <v>2001</v>
      </c>
      <c r="K336" s="76">
        <f>[1]!'@CTA[8-2-4-5-1-5111,J,4,#6]'</f>
        <v>0</v>
      </c>
      <c r="L336" s="76">
        <f>[1]!'@CTA[8-2-5-5-1-5111,J,4,#6]'</f>
        <v>0</v>
      </c>
      <c r="M336" s="76">
        <f>[1]!'@CTA[8-2-6-5-1-5111,J,4,#6]'</f>
        <v>0</v>
      </c>
      <c r="N336" s="74">
        <f>[1]!'@CTA[8-2-7-5-1-5111,F,4,#6]'</f>
        <v>0</v>
      </c>
      <c r="O336" s="66">
        <f t="shared" si="21"/>
        <v>2001</v>
      </c>
    </row>
    <row r="337" spans="1:15" ht="108" x14ac:dyDescent="0.2">
      <c r="A337" s="67" t="s">
        <v>286</v>
      </c>
      <c r="B337" s="61" t="s">
        <v>152</v>
      </c>
      <c r="C337" s="61" t="s">
        <v>149</v>
      </c>
      <c r="D337" s="62" t="s">
        <v>287</v>
      </c>
      <c r="E337" s="71" t="s">
        <v>259</v>
      </c>
      <c r="F337" s="72">
        <v>5151</v>
      </c>
      <c r="G337" s="73" t="s">
        <v>260</v>
      </c>
      <c r="H337" s="74">
        <f>[1]!'@CTA[8-2-1-5-1-5151,F,4,#6]'</f>
        <v>0</v>
      </c>
      <c r="I337" s="74">
        <f>[1]!'@CTA[8-2-3-5-1-5151,F,4,#6]'</f>
        <v>0</v>
      </c>
      <c r="J337" s="75">
        <f>[1]!'@CTA[8-2-1-5-1-5151,F,4,#6]'+[1]!'@CTA[8-2-3-5-1-5151,F,4,#6]'</f>
        <v>0</v>
      </c>
      <c r="K337" s="76">
        <f>[1]!'@CTA[8-2-4-5-1-5151,J,4,#6]'</f>
        <v>0</v>
      </c>
      <c r="L337" s="76">
        <f>[1]!'@CTA[8-2-5-5-1-5151,J,4,#6]'</f>
        <v>0</v>
      </c>
      <c r="M337" s="76">
        <f>[1]!'@CTA[8-2-6-5-1-5151,J,4,#6]'</f>
        <v>0</v>
      </c>
      <c r="N337" s="74">
        <f>[1]!'@CTA[8-2-7-5-1-5151,F,4,#6]'</f>
        <v>0</v>
      </c>
      <c r="O337" s="66">
        <f t="shared" si="21"/>
        <v>0</v>
      </c>
    </row>
    <row r="338" spans="1:15" ht="108" x14ac:dyDescent="0.2">
      <c r="A338" s="67" t="s">
        <v>286</v>
      </c>
      <c r="B338" s="61" t="s">
        <v>152</v>
      </c>
      <c r="C338" s="61" t="s">
        <v>149</v>
      </c>
      <c r="D338" s="62" t="s">
        <v>287</v>
      </c>
      <c r="E338" s="71" t="s">
        <v>259</v>
      </c>
      <c r="F338" s="72">
        <v>5152</v>
      </c>
      <c r="G338" s="73" t="s">
        <v>261</v>
      </c>
      <c r="H338" s="74">
        <f>[1]!'@CTA[8-2-1-5-1-5152,F,4,#6]'</f>
        <v>0</v>
      </c>
      <c r="I338" s="74">
        <f>[1]!'@CTA[8-2-3-5-1-5152,F,4,#6]'</f>
        <v>0</v>
      </c>
      <c r="J338" s="75">
        <f>[1]!'@CTA[8-2-1-5-1-5152,F,4,#6]'+[1]!'@CTA[8-2-3-5-1-5152,F,4,#6]'</f>
        <v>0</v>
      </c>
      <c r="K338" s="76">
        <f>[1]!'@CTA[8-2-4-5-1-5152,J,4,#6]'</f>
        <v>8864.64</v>
      </c>
      <c r="L338" s="76">
        <f>[1]!'@CTA[8-2-5-5-1-5152,J,4,#6]'</f>
        <v>8864.64</v>
      </c>
      <c r="M338" s="76">
        <f>[1]!'@CTA[8-2-6-5-1-5152,J,4,#6]'</f>
        <v>8864.64</v>
      </c>
      <c r="N338" s="74">
        <f>[1]!'@CTA[8-2-7-5-1-5152,F,4,#6]'</f>
        <v>8864.64</v>
      </c>
      <c r="O338" s="66">
        <f t="shared" si="21"/>
        <v>-8864.64</v>
      </c>
    </row>
    <row r="339" spans="1:15" ht="108" x14ac:dyDescent="0.2">
      <c r="A339" s="67" t="s">
        <v>286</v>
      </c>
      <c r="B339" s="61" t="s">
        <v>152</v>
      </c>
      <c r="C339" s="61" t="s">
        <v>149</v>
      </c>
      <c r="D339" s="62" t="s">
        <v>287</v>
      </c>
      <c r="E339" s="71" t="s">
        <v>259</v>
      </c>
      <c r="F339" s="72">
        <v>5153</v>
      </c>
      <c r="G339" s="73" t="s">
        <v>262</v>
      </c>
      <c r="H339" s="74">
        <f>[1]!'@CTA[8-2-1-5-1-5153,F,4,#6]'</f>
        <v>0</v>
      </c>
      <c r="I339" s="74">
        <f>[1]!'@CTA[8-2-3-5-1-5153,F,4,#6]'</f>
        <v>0</v>
      </c>
      <c r="J339" s="75">
        <f>[1]!'@CTA[8-2-1-5-1-5153,F,4,#6]'+[1]!'@CTA[8-2-3-5-1-5153,F,4,#6]'</f>
        <v>0</v>
      </c>
      <c r="K339" s="76">
        <f>[1]!'@CTA[8-2-4-5-1-5153,J,4,#6]'</f>
        <v>0</v>
      </c>
      <c r="L339" s="76">
        <f>[1]!'@CTA[8-2-5-5-1-5153,J,4,#6]'</f>
        <v>0</v>
      </c>
      <c r="M339" s="76">
        <f>[1]!'@CTA[8-2-6-5-1-5153,J,4,#6]'</f>
        <v>0</v>
      </c>
      <c r="N339" s="74">
        <f>[1]!'@CTA[8-2-7-5-1-5153,F,4,#6]'</f>
        <v>0</v>
      </c>
      <c r="O339" s="66">
        <f t="shared" si="21"/>
        <v>0</v>
      </c>
    </row>
    <row r="340" spans="1:15" ht="108" x14ac:dyDescent="0.2">
      <c r="A340" s="67" t="s">
        <v>286</v>
      </c>
      <c r="B340" s="61" t="s">
        <v>152</v>
      </c>
      <c r="C340" s="61" t="s">
        <v>149</v>
      </c>
      <c r="D340" s="62" t="s">
        <v>287</v>
      </c>
      <c r="E340" s="71" t="s">
        <v>257</v>
      </c>
      <c r="F340" s="72">
        <v>5231</v>
      </c>
      <c r="G340" s="73" t="s">
        <v>263</v>
      </c>
      <c r="H340" s="74">
        <f>[1]!'@CTA[8-2-1-5-2-5231,F,4,#6]'</f>
        <v>0</v>
      </c>
      <c r="I340" s="74">
        <f>[1]!'@CTA[8-2-3-5-2-5231,F,4,#6]'</f>
        <v>0</v>
      </c>
      <c r="J340" s="75">
        <f>[1]!'@CTA[8-2-1-5-2-5231,F,4,#6]'+[1]!'@CTA[8-2-3-5-2-5231,F,4,#6]'</f>
        <v>0</v>
      </c>
      <c r="K340" s="76">
        <f>[1]!'@CTA[8-2-4-5-2-5231,J,4,#6]'</f>
        <v>0</v>
      </c>
      <c r="L340" s="76">
        <f>[1]!'@CTA[8-2-5-5-2-5231,J,4,#6]'</f>
        <v>0</v>
      </c>
      <c r="M340" s="76">
        <f>[1]!'@CTA[8-2-6-5-2-5231,J,4,#6]'</f>
        <v>0</v>
      </c>
      <c r="N340" s="74">
        <f>[1]!'@CTA[8-2-7-5-2-5231,F,4,#6]'</f>
        <v>0</v>
      </c>
      <c r="O340" s="66">
        <f t="shared" si="21"/>
        <v>0</v>
      </c>
    </row>
    <row r="341" spans="1:15" ht="108" x14ac:dyDescent="0.2">
      <c r="A341" s="67" t="s">
        <v>286</v>
      </c>
      <c r="B341" s="61" t="s">
        <v>152</v>
      </c>
      <c r="C341" s="61" t="s">
        <v>149</v>
      </c>
      <c r="D341" s="62" t="s">
        <v>287</v>
      </c>
      <c r="E341" s="71" t="s">
        <v>264</v>
      </c>
      <c r="F341" s="72">
        <v>5411</v>
      </c>
      <c r="G341" s="73" t="s">
        <v>265</v>
      </c>
      <c r="H341" s="74">
        <f>[1]!'@CTA[8-2-1-5-4-5411,F,4,#6]'</f>
        <v>0</v>
      </c>
      <c r="I341" s="74">
        <f>[1]!'@CTA[8-2-3-5-4-5411,F,4,#6]'</f>
        <v>0</v>
      </c>
      <c r="J341" s="75">
        <f>[1]!'@CTA[8-2-1-5-4-5411,F,4,#6]'+[1]!'@CTA[8-2-3-5-4-5411,F,4,#6]'</f>
        <v>0</v>
      </c>
      <c r="K341" s="76">
        <f>[1]!'@CTA[8-2-4-5-4-5411,J,4,#6]'</f>
        <v>0</v>
      </c>
      <c r="L341" s="76">
        <f>[1]!'@CTA[8-2-5-5-4-5411,J,4,#6]'</f>
        <v>0</v>
      </c>
      <c r="M341" s="76">
        <f>[1]!'@CTA[8-2-6-5-4-5411,J,4,#6]'</f>
        <v>0</v>
      </c>
      <c r="N341" s="74">
        <f>[1]!'@CTA[8-2-7-5-4-5411,F,4,#6]'</f>
        <v>0</v>
      </c>
      <c r="O341" s="66">
        <f t="shared" si="21"/>
        <v>0</v>
      </c>
    </row>
    <row r="342" spans="1:15" ht="108" x14ac:dyDescent="0.2">
      <c r="A342" s="67" t="s">
        <v>286</v>
      </c>
      <c r="B342" s="61" t="s">
        <v>152</v>
      </c>
      <c r="C342" s="61" t="s">
        <v>149</v>
      </c>
      <c r="D342" s="62" t="s">
        <v>287</v>
      </c>
      <c r="E342" s="71" t="s">
        <v>264</v>
      </c>
      <c r="F342" s="72">
        <v>5491</v>
      </c>
      <c r="G342" s="73" t="s">
        <v>266</v>
      </c>
      <c r="H342" s="74">
        <f>[1]!'@CTA[8-2-1-5-4-5491,F,4,#6]'</f>
        <v>0</v>
      </c>
      <c r="I342" s="74">
        <f>[1]!'@CTA[8-2-3-5-4-5491,F,4,#6]'</f>
        <v>0</v>
      </c>
      <c r="J342" s="75">
        <f>[1]!'@CTA[8-2-1-5-4-5491,F,4,#6]'+[1]!'@CTA[8-2-3-5-4-5491,F,4,#6]'</f>
        <v>0</v>
      </c>
      <c r="K342" s="76">
        <f>[1]!'@CTA[8-2-4-5-4-5491,J,4,#6]'</f>
        <v>0</v>
      </c>
      <c r="L342" s="76">
        <f>[1]!'@CTA[8-2-5-5-4-5491,J,4,#6]'</f>
        <v>0</v>
      </c>
      <c r="M342" s="76">
        <f>[1]!'@CTA[8-2-6-5-4-5491,J,4,#6]'</f>
        <v>0</v>
      </c>
      <c r="N342" s="74">
        <f>[1]!'@CTA[8-2-7-5-4-5491,F,4,#6]'</f>
        <v>0</v>
      </c>
      <c r="O342" s="66">
        <f t="shared" si="21"/>
        <v>0</v>
      </c>
    </row>
    <row r="343" spans="1:15" ht="108" x14ac:dyDescent="0.2">
      <c r="A343" s="67" t="s">
        <v>286</v>
      </c>
      <c r="B343" s="61" t="s">
        <v>152</v>
      </c>
      <c r="C343" s="61" t="s">
        <v>149</v>
      </c>
      <c r="D343" s="62" t="s">
        <v>287</v>
      </c>
      <c r="E343" s="71" t="s">
        <v>257</v>
      </c>
      <c r="F343" s="72">
        <v>5631</v>
      </c>
      <c r="G343" s="73" t="s">
        <v>267</v>
      </c>
      <c r="H343" s="74">
        <f>[1]!'@CTA[8-2-1-5-6-5631,F,4,#6]'</f>
        <v>0</v>
      </c>
      <c r="I343" s="74">
        <f>[1]!'@CTA[8-2-3-5-6-5631,F,4,#6]'</f>
        <v>0</v>
      </c>
      <c r="J343" s="75">
        <f>[1]!'@CTA[8-2-1-5-6-5631,F,4,#6]'+[1]!'@CTA[8-2-3-5-6-5631,F,4,#6]'</f>
        <v>0</v>
      </c>
      <c r="K343" s="76">
        <f>[1]!'@CTA[8-2-4-5-6-5631,J,4,#6]'</f>
        <v>0</v>
      </c>
      <c r="L343" s="76">
        <f>[1]!'@CTA[8-2-5-5-6-5631,J,4,#6]'</f>
        <v>0</v>
      </c>
      <c r="M343" s="76">
        <f>[1]!'@CTA[8-2-6-5-6-5631,J,4,#6]'</f>
        <v>0</v>
      </c>
      <c r="N343" s="74">
        <f>[1]!'@CTA[8-2-7-5-6-5631,F,4,#6]'</f>
        <v>0</v>
      </c>
      <c r="O343" s="66">
        <f t="shared" si="21"/>
        <v>0</v>
      </c>
    </row>
    <row r="344" spans="1:15" ht="108" x14ac:dyDescent="0.2">
      <c r="A344" s="67" t="s">
        <v>286</v>
      </c>
      <c r="B344" s="61" t="s">
        <v>152</v>
      </c>
      <c r="C344" s="61" t="s">
        <v>149</v>
      </c>
      <c r="D344" s="62" t="s">
        <v>287</v>
      </c>
      <c r="E344" s="71" t="s">
        <v>257</v>
      </c>
      <c r="F344" s="72">
        <v>5651</v>
      </c>
      <c r="G344" s="73" t="s">
        <v>268</v>
      </c>
      <c r="H344" s="74">
        <f>[1]!'@CTA[8-2-1-5-6-5651,F,4,#6]'</f>
        <v>0</v>
      </c>
      <c r="I344" s="74">
        <f>[1]!'@CTA[8-2-3-5-6-5651,F,4,#6]'</f>
        <v>0</v>
      </c>
      <c r="J344" s="75">
        <f>[1]!'@CTA[8-2-1-5-6-5651,F,4,#6]'+[1]!'@CTA[8-2-3-5-6-5651,F,4,#6]'</f>
        <v>0</v>
      </c>
      <c r="K344" s="76">
        <f>[1]!'@CTA[8-2-4-5-6-5651,J,4,#6]'</f>
        <v>0</v>
      </c>
      <c r="L344" s="76">
        <f>[1]!'@CTA[8-2-5-5-6-5651,J,4,#6]'</f>
        <v>0</v>
      </c>
      <c r="M344" s="76">
        <f>[1]!'@CTA[8-2-6-5-6-5651,J,4,#6]'</f>
        <v>0</v>
      </c>
      <c r="N344" s="74">
        <f>[1]!'@CTA[8-2-7-5-6-5651,F,4,#6]'</f>
        <v>0</v>
      </c>
      <c r="O344" s="66">
        <f t="shared" si="21"/>
        <v>0</v>
      </c>
    </row>
    <row r="345" spans="1:15" ht="108" x14ac:dyDescent="0.2">
      <c r="A345" s="67" t="s">
        <v>286</v>
      </c>
      <c r="B345" s="61" t="s">
        <v>152</v>
      </c>
      <c r="C345" s="61" t="s">
        <v>149</v>
      </c>
      <c r="D345" s="62" t="s">
        <v>287</v>
      </c>
      <c r="E345" s="71" t="s">
        <v>257</v>
      </c>
      <c r="F345" s="72">
        <v>5671</v>
      </c>
      <c r="G345" s="73" t="s">
        <v>269</v>
      </c>
      <c r="H345" s="74">
        <f>[1]!'@CTA[8-2-1-5-6-5671,F,4,#6]'</f>
        <v>0</v>
      </c>
      <c r="I345" s="74">
        <f>[1]!'@CTA[8-2-3-5-6-5671,F,4,#6]'</f>
        <v>0</v>
      </c>
      <c r="J345" s="75">
        <f>[1]!'@CTA[8-2-1-5-6-5671,F,4,#6]'+[1]!'@CTA[8-2-3-5-6-5671,F,4,#6]'</f>
        <v>0</v>
      </c>
      <c r="K345" s="76">
        <f>[1]!'@CTA[8-2-4-5-6-5671,J,4,#6]'</f>
        <v>0</v>
      </c>
      <c r="L345" s="76">
        <f>[1]!'@CTA[8-2-5-5-6-5671,J,4,#6]'</f>
        <v>0</v>
      </c>
      <c r="M345" s="76">
        <f>[1]!'@CTA[8-2-6-5-6-5671,J,4,#6]'</f>
        <v>0</v>
      </c>
      <c r="N345" s="74">
        <f>[1]!'@CTA[8-2-7-5-6-5671,F,4,#6]'</f>
        <v>0</v>
      </c>
      <c r="O345" s="66">
        <f t="shared" si="21"/>
        <v>0</v>
      </c>
    </row>
    <row r="346" spans="1:15" ht="108" x14ac:dyDescent="0.2">
      <c r="A346" s="67" t="s">
        <v>286</v>
      </c>
      <c r="B346" s="61" t="s">
        <v>152</v>
      </c>
      <c r="C346" s="61" t="s">
        <v>149</v>
      </c>
      <c r="D346" s="62" t="s">
        <v>287</v>
      </c>
      <c r="E346" s="71" t="s">
        <v>270</v>
      </c>
      <c r="F346" s="72">
        <v>5911</v>
      </c>
      <c r="G346" s="73" t="s">
        <v>271</v>
      </c>
      <c r="H346" s="74">
        <f>[1]!'@CTA[8-2-1-5-9-5911,F,4,#6]'</f>
        <v>0</v>
      </c>
      <c r="I346" s="74">
        <f>[1]!'@CTA[8-2-3-5-9-5911,F,4,#6]'</f>
        <v>0</v>
      </c>
      <c r="J346" s="75">
        <f>[1]!'@CTA[8-2-1-5-9-5911,F,4,#6]'+[1]!'@CTA[8-2-3-5-9-5911,F,4,#6]'</f>
        <v>0</v>
      </c>
      <c r="K346" s="76">
        <f>[1]!'@CTA[8-2-4-5-9-5911,J,4,#6]'</f>
        <v>0</v>
      </c>
      <c r="L346" s="76">
        <f>[1]!'@CTA[8-2-5-5-9-5911,J,4,#6]'</f>
        <v>0</v>
      </c>
      <c r="M346" s="76">
        <f>[1]!'@CTA[8-2-6-5-9-5911,J,4,#6]'</f>
        <v>0</v>
      </c>
      <c r="N346" s="74">
        <f>[1]!'@CTA[8-2-7-5-9-5911,F,4,#6]'</f>
        <v>0</v>
      </c>
      <c r="O346" s="66">
        <f t="shared" si="21"/>
        <v>0</v>
      </c>
    </row>
    <row r="347" spans="1:15" ht="108" x14ac:dyDescent="0.2">
      <c r="A347" s="67" t="s">
        <v>286</v>
      </c>
      <c r="B347" s="61"/>
      <c r="C347" s="61" t="s">
        <v>149</v>
      </c>
      <c r="D347" s="62" t="s">
        <v>287</v>
      </c>
      <c r="E347" s="61"/>
      <c r="F347" s="63">
        <v>6000</v>
      </c>
      <c r="G347" s="68" t="s">
        <v>274</v>
      </c>
      <c r="H347" s="69">
        <f t="shared" ref="H347:N347" si="23">SUBTOTAL(9,H348:H351)</f>
        <v>0</v>
      </c>
      <c r="I347" s="69">
        <f t="shared" si="23"/>
        <v>0</v>
      </c>
      <c r="J347" s="69">
        <f t="shared" si="23"/>
        <v>0</v>
      </c>
      <c r="K347" s="70">
        <f t="shared" si="23"/>
        <v>0</v>
      </c>
      <c r="L347" s="70">
        <f t="shared" si="23"/>
        <v>0</v>
      </c>
      <c r="M347" s="70">
        <f t="shared" si="23"/>
        <v>0</v>
      </c>
      <c r="N347" s="69">
        <f t="shared" si="23"/>
        <v>0</v>
      </c>
      <c r="O347" s="66">
        <f t="shared" si="21"/>
        <v>0</v>
      </c>
    </row>
    <row r="348" spans="1:15" ht="108" x14ac:dyDescent="0.2">
      <c r="A348" s="67" t="s">
        <v>286</v>
      </c>
      <c r="B348" s="61" t="s">
        <v>275</v>
      </c>
      <c r="C348" s="61" t="s">
        <v>149</v>
      </c>
      <c r="D348" s="62" t="s">
        <v>287</v>
      </c>
      <c r="E348" s="71" t="s">
        <v>276</v>
      </c>
      <c r="F348" s="72">
        <v>6131</v>
      </c>
      <c r="G348" s="78" t="s">
        <v>277</v>
      </c>
      <c r="H348" s="74">
        <f>[1]!'@CTA[8-2-1-6-1-6131,F,4,#6]'</f>
        <v>0</v>
      </c>
      <c r="I348" s="74">
        <f>[1]!'@CTA[8-2-3-6-1-6131,F,4,#6]'</f>
        <v>0</v>
      </c>
      <c r="J348" s="75">
        <f>[1]!'@CTA[8-2-1-6-1-6131,F,4,#6]'+[1]!'@CTA[8-2-3-6-1-6131,F,4,#6]'</f>
        <v>0</v>
      </c>
      <c r="K348" s="76">
        <f>[1]!'@CTA[8-2-4-6-1-6131,J,4,#6]'</f>
        <v>0</v>
      </c>
      <c r="L348" s="76">
        <f>[1]!'@CTA[8-2-5-6-1-6131,J,4,#6]'</f>
        <v>0</v>
      </c>
      <c r="M348" s="76">
        <f>[1]!'@CTA[8-2-6-6-1-6131,J,4,#6]'</f>
        <v>0</v>
      </c>
      <c r="N348" s="74">
        <f>[1]!'@CTA[8-2-7-6-1-6131,F,4,#6]'</f>
        <v>0</v>
      </c>
      <c r="O348" s="66">
        <f t="shared" si="21"/>
        <v>0</v>
      </c>
    </row>
    <row r="349" spans="1:15" ht="108" x14ac:dyDescent="0.2">
      <c r="A349" s="67" t="s">
        <v>286</v>
      </c>
      <c r="B349" s="61" t="s">
        <v>275</v>
      </c>
      <c r="C349" s="61" t="s">
        <v>149</v>
      </c>
      <c r="D349" s="62" t="s">
        <v>287</v>
      </c>
      <c r="E349" s="71" t="s">
        <v>276</v>
      </c>
      <c r="F349" s="72">
        <v>6161</v>
      </c>
      <c r="G349" s="78" t="s">
        <v>278</v>
      </c>
      <c r="H349" s="74">
        <f>[1]!'@CTA[8-2-1-6-1-6161,F,4,#6]'</f>
        <v>0</v>
      </c>
      <c r="I349" s="74">
        <f>[1]!'@CTA[8-2-3-6-1-6161,F,4,#6]'</f>
        <v>0</v>
      </c>
      <c r="J349" s="75">
        <f>[1]!'@CTA[8-2-1-6-1-6161,F,4,#6]'+[1]!'@CTA[8-2-3-6-1-6161,F,4,#6]'</f>
        <v>0</v>
      </c>
      <c r="K349" s="76">
        <f>[1]!'@CTA[8-2-4-6-1-6161,J,4,#6]'</f>
        <v>0</v>
      </c>
      <c r="L349" s="76">
        <f>[1]!'@CTA[8-2-5-6-1-6161,J,4,#6]'</f>
        <v>0</v>
      </c>
      <c r="M349" s="76">
        <f>[1]!'@CTA[8-2-6-6-1-6161,J,4,#6]'</f>
        <v>0</v>
      </c>
      <c r="N349" s="74">
        <f>[1]!'@CTA[8-2-7-6-1-6161,F,4,#6]'</f>
        <v>0</v>
      </c>
      <c r="O349" s="66">
        <f t="shared" si="21"/>
        <v>0</v>
      </c>
    </row>
    <row r="350" spans="1:15" ht="108" x14ac:dyDescent="0.2">
      <c r="A350" s="67" t="s">
        <v>286</v>
      </c>
      <c r="B350" s="61" t="s">
        <v>275</v>
      </c>
      <c r="C350" s="61" t="s">
        <v>149</v>
      </c>
      <c r="D350" s="62" t="s">
        <v>287</v>
      </c>
      <c r="E350" s="71" t="s">
        <v>276</v>
      </c>
      <c r="F350" s="72">
        <v>6162</v>
      </c>
      <c r="G350" s="78" t="s">
        <v>279</v>
      </c>
      <c r="H350" s="74">
        <f>[1]!'@CTA[8-2-1-6-1-6162,F,4,#6]'</f>
        <v>0</v>
      </c>
      <c r="I350" s="74">
        <f>[1]!'@CTA[8-2-3-6-1-6162,F,4,#6]'</f>
        <v>0</v>
      </c>
      <c r="J350" s="75">
        <f>[1]!'@CTA[8-2-1-6-1-6162,F,4,#6]'+[1]!'@CTA[8-2-3-6-1-6162,F,4,#6]'</f>
        <v>0</v>
      </c>
      <c r="K350" s="76">
        <f>[1]!'@CTA[8-2-4-6-1-6162,J,4,#6]'</f>
        <v>0</v>
      </c>
      <c r="L350" s="76">
        <f>[1]!'@CTA[8-2-5-6-1-6162,J,4,#6]'</f>
        <v>0</v>
      </c>
      <c r="M350" s="76">
        <f>[1]!'@CTA[8-2-6-6-1-6162,J,4,#6]'</f>
        <v>0</v>
      </c>
      <c r="N350" s="74">
        <f>[1]!'@CTA[8-2-7-6-1-6162,F,4,#6]'</f>
        <v>0</v>
      </c>
      <c r="O350" s="66">
        <f t="shared" si="21"/>
        <v>0</v>
      </c>
    </row>
    <row r="351" spans="1:15" ht="108" x14ac:dyDescent="0.2">
      <c r="A351" s="67" t="s">
        <v>286</v>
      </c>
      <c r="B351" s="61" t="s">
        <v>275</v>
      </c>
      <c r="C351" s="61" t="s">
        <v>149</v>
      </c>
      <c r="D351" s="62" t="s">
        <v>287</v>
      </c>
      <c r="E351" s="71" t="s">
        <v>276</v>
      </c>
      <c r="F351" s="72">
        <v>6171</v>
      </c>
      <c r="G351" s="78" t="s">
        <v>280</v>
      </c>
      <c r="H351" s="74">
        <f>[1]!'@CTA[8-2-1-6-1-6171,F,4,#6]'</f>
        <v>0</v>
      </c>
      <c r="I351" s="74">
        <f>[1]!'@CTA[8-2-3-6-1-6171,F,4,#6]'</f>
        <v>0</v>
      </c>
      <c r="J351" s="75">
        <f>[1]!'@CTA[8-2-1-6-1-6171,F,4,#6]'+[1]!'@CTA[8-2-3-6-1-6171,F,4,#6]'</f>
        <v>0</v>
      </c>
      <c r="K351" s="76">
        <f>[1]!'@CTA[8-2-4-6-1-6171,J,4,#6]'</f>
        <v>0</v>
      </c>
      <c r="L351" s="76">
        <f>[1]!'@CTA[8-2-5-6-1-6171,J,4,#6]'</f>
        <v>0</v>
      </c>
      <c r="M351" s="76">
        <f>[1]!'@CTA[8-2-6-6-1-6171,J,4,#6]'</f>
        <v>0</v>
      </c>
      <c r="N351" s="74">
        <f>[1]!'@CTA[8-2-7-6-1-6171,F,4,#6]'</f>
        <v>0</v>
      </c>
      <c r="O351" s="66">
        <f t="shared" si="21"/>
        <v>0</v>
      </c>
    </row>
    <row r="352" spans="1:15" ht="12" x14ac:dyDescent="0.2">
      <c r="A352" s="60"/>
      <c r="B352" s="61"/>
      <c r="C352" s="61"/>
      <c r="D352" s="62"/>
      <c r="E352" s="61"/>
      <c r="F352" s="63"/>
      <c r="G352" s="64" t="s">
        <v>288</v>
      </c>
      <c r="H352" s="65">
        <f>SUBTOTAL(9,H353:H466)</f>
        <v>3071541</v>
      </c>
      <c r="I352" s="65">
        <f t="shared" ref="I352:N352" si="24">SUBTOTAL(9,I353:I466)</f>
        <v>200161.8000000001</v>
      </c>
      <c r="J352" s="65">
        <f t="shared" si="24"/>
        <v>3271702.8000000003</v>
      </c>
      <c r="K352" s="65">
        <f t="shared" si="24"/>
        <v>996291.39999999991</v>
      </c>
      <c r="L352" s="65">
        <f t="shared" si="24"/>
        <v>996291.39999999991</v>
      </c>
      <c r="M352" s="65">
        <f t="shared" si="24"/>
        <v>996291.39999999991</v>
      </c>
      <c r="N352" s="65">
        <f t="shared" si="24"/>
        <v>958612.92</v>
      </c>
      <c r="O352" s="66">
        <f t="shared" si="21"/>
        <v>2275411.4000000004</v>
      </c>
    </row>
    <row r="353" spans="1:15" ht="108" x14ac:dyDescent="0.2">
      <c r="A353" s="67" t="s">
        <v>286</v>
      </c>
      <c r="B353" s="61"/>
      <c r="C353" s="61" t="s">
        <v>149</v>
      </c>
      <c r="D353" s="62" t="s">
        <v>289</v>
      </c>
      <c r="E353" s="61"/>
      <c r="F353" s="63">
        <v>1000</v>
      </c>
      <c r="G353" s="68" t="s">
        <v>151</v>
      </c>
      <c r="H353" s="69">
        <f t="shared" ref="H353:N353" si="25">SUBTOTAL(9,H354:H372)</f>
        <v>1902118</v>
      </c>
      <c r="I353" s="69">
        <f t="shared" si="25"/>
        <v>196441.50000000003</v>
      </c>
      <c r="J353" s="69">
        <f t="shared" si="25"/>
        <v>2098559.5</v>
      </c>
      <c r="K353" s="70">
        <f t="shared" si="25"/>
        <v>707257.95999999985</v>
      </c>
      <c r="L353" s="70">
        <f t="shared" si="25"/>
        <v>707257.95999999985</v>
      </c>
      <c r="M353" s="70">
        <f t="shared" si="25"/>
        <v>707257.95999999985</v>
      </c>
      <c r="N353" s="69">
        <f t="shared" si="25"/>
        <v>672464.87999999989</v>
      </c>
      <c r="O353" s="66">
        <f t="shared" si="21"/>
        <v>1391301.54</v>
      </c>
    </row>
    <row r="354" spans="1:15" ht="108" x14ac:dyDescent="0.2">
      <c r="A354" s="67" t="s">
        <v>286</v>
      </c>
      <c r="B354" s="61" t="s">
        <v>152</v>
      </c>
      <c r="C354" s="61" t="s">
        <v>149</v>
      </c>
      <c r="D354" s="62" t="s">
        <v>289</v>
      </c>
      <c r="E354" s="71" t="s">
        <v>153</v>
      </c>
      <c r="F354" s="72">
        <v>1131</v>
      </c>
      <c r="G354" s="73" t="s">
        <v>154</v>
      </c>
      <c r="H354" s="74">
        <f>[1]!'@CTA[8-2-1-1-1-1131,F,5,#6]'</f>
        <v>1104102</v>
      </c>
      <c r="I354" s="74">
        <f>[1]!'@CTA[8-2-3-1-1-1131,F,5,#6]'</f>
        <v>1.4551915228366852E-11</v>
      </c>
      <c r="J354" s="75">
        <f>[1]!'@CTA[8-2-1-1-1-1131,F,5,#6]'+[1]!'@CTA[8-2-3-1-1-1131,F,5,#6]'</f>
        <v>1104102</v>
      </c>
      <c r="K354" s="76">
        <f>[1]!'@CTA[8-2-4-1-1-1131,J,5,#6]'</f>
        <v>260899.32</v>
      </c>
      <c r="L354" s="76">
        <f>[1]!'@CTA[8-2-5-1-1-1131,J,5,#6]'</f>
        <v>260899.32</v>
      </c>
      <c r="M354" s="76">
        <f>[1]!'@CTA[8-2-6-1-1-1131,J,5,#6]'</f>
        <v>260899.32</v>
      </c>
      <c r="N354" s="74">
        <f>[1]!'@CTA[8-2-7-1-1-1131,F,5,#6]'</f>
        <v>242815.1</v>
      </c>
      <c r="O354" s="66">
        <f t="shared" si="21"/>
        <v>843202.67999999993</v>
      </c>
    </row>
    <row r="355" spans="1:15" ht="108" x14ac:dyDescent="0.2">
      <c r="A355" s="67" t="s">
        <v>286</v>
      </c>
      <c r="B355" s="61" t="s">
        <v>152</v>
      </c>
      <c r="C355" s="61" t="s">
        <v>149</v>
      </c>
      <c r="D355" s="62" t="s">
        <v>289</v>
      </c>
      <c r="E355" s="71" t="s">
        <v>153</v>
      </c>
      <c r="F355" s="72">
        <v>1211</v>
      </c>
      <c r="G355" s="73" t="s">
        <v>156</v>
      </c>
      <c r="H355" s="74">
        <f>[1]!'@CTA[8-2-1-1-2-1211,F,5,#6]'</f>
        <v>0</v>
      </c>
      <c r="I355" s="74">
        <f>[1]!'@CTA[8-2-3-1-2-1211,F,5,#6]'</f>
        <v>0</v>
      </c>
      <c r="J355" s="75">
        <f>[1]!'@CTA[8-2-1-1-2-1211,F,5,#6]'+[1]!'@CTA[8-2-3-1-2-1211,F,5,#6]'</f>
        <v>0</v>
      </c>
      <c r="K355" s="76">
        <f>[1]!'@CTA[8-2-4-1-2-1211,J,5,#6]'</f>
        <v>0</v>
      </c>
      <c r="L355" s="76">
        <f>[1]!'@CTA[8-2-5-1-2-1211,J,5,#6]'</f>
        <v>0</v>
      </c>
      <c r="M355" s="76">
        <f>[1]!'@CTA[8-2-6-1-2-1211,J,5,#6]'</f>
        <v>0</v>
      </c>
      <c r="N355" s="74">
        <f>[1]!'@CTA[8-2-7-1-2-1211,F,5,#6]'</f>
        <v>0</v>
      </c>
      <c r="O355" s="66">
        <f t="shared" si="21"/>
        <v>0</v>
      </c>
    </row>
    <row r="356" spans="1:15" ht="108" x14ac:dyDescent="0.2">
      <c r="A356" s="67" t="s">
        <v>286</v>
      </c>
      <c r="B356" s="61" t="s">
        <v>152</v>
      </c>
      <c r="C356" s="61" t="s">
        <v>149</v>
      </c>
      <c r="D356" s="62" t="s">
        <v>289</v>
      </c>
      <c r="E356" s="71" t="s">
        <v>153</v>
      </c>
      <c r="F356" s="72">
        <v>1221</v>
      </c>
      <c r="G356" s="73" t="s">
        <v>155</v>
      </c>
      <c r="H356" s="74">
        <f>[1]!'@CTA[8-2-1-1-2-1221,F,5,#6]'</f>
        <v>0</v>
      </c>
      <c r="I356" s="74">
        <f>[1]!'@CTA[8-2-3-1-2-1221,F,5,#6]'</f>
        <v>0</v>
      </c>
      <c r="J356" s="75">
        <f>[1]!'@CTA[8-2-1-1-2-1221,F,5,#6]'+[1]!'@CTA[8-2-3-1-2-1221,F,5,#6]'</f>
        <v>0</v>
      </c>
      <c r="K356" s="76">
        <f>[1]!'@CTA[8-2-4-1-2-1221,J,5,#6]'</f>
        <v>0</v>
      </c>
      <c r="L356" s="76">
        <f>[1]!'@CTA[8-2-5-1-2-1221,J,5,#6]'</f>
        <v>0</v>
      </c>
      <c r="M356" s="76">
        <f>[1]!'@CTA[8-2-6-1-2-1221,J,5,#6]'</f>
        <v>0</v>
      </c>
      <c r="N356" s="74">
        <f>[1]!'@CTA[8-2-7-1-2-1221,F,5,#6]'</f>
        <v>0</v>
      </c>
      <c r="O356" s="66">
        <f t="shared" si="21"/>
        <v>0</v>
      </c>
    </row>
    <row r="357" spans="1:15" ht="108" x14ac:dyDescent="0.2">
      <c r="A357" s="67" t="s">
        <v>286</v>
      </c>
      <c r="B357" s="61" t="s">
        <v>152</v>
      </c>
      <c r="C357" s="61" t="s">
        <v>149</v>
      </c>
      <c r="D357" s="62" t="s">
        <v>289</v>
      </c>
      <c r="E357" s="71" t="s">
        <v>153</v>
      </c>
      <c r="F357" s="72">
        <v>1311</v>
      </c>
      <c r="G357" s="73" t="s">
        <v>157</v>
      </c>
      <c r="H357" s="74">
        <f>[1]!'@CTA[8-2-1-1-3-1311,F,5,#6]'</f>
        <v>0</v>
      </c>
      <c r="I357" s="74">
        <f>[1]!'@CTA[8-2-3-1-3-1311,F,5,#6]'</f>
        <v>165858.89000000001</v>
      </c>
      <c r="J357" s="75">
        <f>[1]!'@CTA[8-2-1-1-3-1311,F,5,#6]'+[1]!'@CTA[8-2-3-1-3-1311,F,5,#6]'</f>
        <v>165858.89000000001</v>
      </c>
      <c r="K357" s="76">
        <f>[1]!'@CTA[8-2-4-1-3-1311,J,5,#6]'</f>
        <v>294368.14</v>
      </c>
      <c r="L357" s="76">
        <f>[1]!'@CTA[8-2-5-1-3-1311,J,5,#6]'</f>
        <v>294368.14</v>
      </c>
      <c r="M357" s="76">
        <f>[1]!'@CTA[8-2-6-1-3-1311,J,5,#6]'</f>
        <v>294368.14</v>
      </c>
      <c r="N357" s="74">
        <f>[1]!'@CTA[8-2-7-1-3-1311,F,5,#6]'</f>
        <v>294368.14</v>
      </c>
      <c r="O357" s="66">
        <f t="shared" si="21"/>
        <v>-128509.25</v>
      </c>
    </row>
    <row r="358" spans="1:15" ht="108" x14ac:dyDescent="0.2">
      <c r="A358" s="67" t="s">
        <v>286</v>
      </c>
      <c r="B358" s="61" t="s">
        <v>152</v>
      </c>
      <c r="C358" s="61" t="s">
        <v>149</v>
      </c>
      <c r="D358" s="62" t="s">
        <v>289</v>
      </c>
      <c r="E358" s="71" t="s">
        <v>153</v>
      </c>
      <c r="F358" s="72">
        <v>1321</v>
      </c>
      <c r="G358" s="73" t="s">
        <v>158</v>
      </c>
      <c r="H358" s="74">
        <f>[1]!'@CTA[8-2-1-1-3-1321,F,5,#6]'</f>
        <v>0</v>
      </c>
      <c r="I358" s="74">
        <f>[1]!'@CTA[8-2-3-1-3-1321,F,5,#6]'</f>
        <v>0</v>
      </c>
      <c r="J358" s="75">
        <f>[1]!'@CTA[8-2-1-1-3-1321,F,5,#6]'+[1]!'@CTA[8-2-3-1-3-1321,F,5,#6]'</f>
        <v>0</v>
      </c>
      <c r="K358" s="76">
        <f>[1]!'@CTA[8-2-4-1-3-1321,J,5,#6]'</f>
        <v>0</v>
      </c>
      <c r="L358" s="76">
        <f>[1]!'@CTA[8-2-5-1-3-1321,J,5,#6]'</f>
        <v>0</v>
      </c>
      <c r="M358" s="76">
        <f>[1]!'@CTA[8-2-6-1-3-1321,J,5,#6]'</f>
        <v>0</v>
      </c>
      <c r="N358" s="74">
        <f>[1]!'@CTA[8-2-7-1-3-1321,F,5,#6]'</f>
        <v>-2.2737367544323206E-13</v>
      </c>
      <c r="O358" s="66">
        <f t="shared" si="21"/>
        <v>0</v>
      </c>
    </row>
    <row r="359" spans="1:15" ht="108" x14ac:dyDescent="0.2">
      <c r="A359" s="67" t="s">
        <v>286</v>
      </c>
      <c r="B359" s="61" t="s">
        <v>152</v>
      </c>
      <c r="C359" s="61" t="s">
        <v>149</v>
      </c>
      <c r="D359" s="62" t="s">
        <v>289</v>
      </c>
      <c r="E359" s="71" t="s">
        <v>153</v>
      </c>
      <c r="F359" s="72">
        <v>1322</v>
      </c>
      <c r="G359" s="73" t="s">
        <v>159</v>
      </c>
      <c r="H359" s="74">
        <f>[1]!'@CTA[8-2-1-1-3-1322,F,5,#6]'</f>
        <v>36061</v>
      </c>
      <c r="I359" s="74">
        <f>[1]!'@CTA[8-2-3-1-3-1322,F,5,#6]'</f>
        <v>0</v>
      </c>
      <c r="J359" s="75">
        <f>[1]!'@CTA[8-2-1-1-3-1322,F,5,#6]'+[1]!'@CTA[8-2-3-1-3-1322,F,5,#6]'</f>
        <v>36061</v>
      </c>
      <c r="K359" s="76">
        <f>[1]!'@CTA[8-2-4-1-3-1322,J,5,#6]'</f>
        <v>9292.15</v>
      </c>
      <c r="L359" s="76">
        <f>[1]!'@CTA[8-2-5-1-3-1322,J,5,#6]'</f>
        <v>9292.15</v>
      </c>
      <c r="M359" s="76">
        <f>[1]!'@CTA[8-2-6-1-3-1322,J,5,#6]'</f>
        <v>9292.15</v>
      </c>
      <c r="N359" s="74">
        <f>[1]!'@CTA[8-2-7-1-3-1322,F,5,#6]'</f>
        <v>9292.1499999999887</v>
      </c>
      <c r="O359" s="66">
        <f t="shared" si="21"/>
        <v>26768.85</v>
      </c>
    </row>
    <row r="360" spans="1:15" ht="108" x14ac:dyDescent="0.2">
      <c r="A360" s="67" t="s">
        <v>286</v>
      </c>
      <c r="B360" s="61" t="s">
        <v>152</v>
      </c>
      <c r="C360" s="61" t="s">
        <v>149</v>
      </c>
      <c r="D360" s="62" t="s">
        <v>289</v>
      </c>
      <c r="E360" s="71" t="s">
        <v>153</v>
      </c>
      <c r="F360" s="72">
        <v>1323</v>
      </c>
      <c r="G360" s="73" t="s">
        <v>160</v>
      </c>
      <c r="H360" s="74">
        <f>[1]!'@CTA[8-2-1-1-3-1323,F,5,#6]'</f>
        <v>126974</v>
      </c>
      <c r="I360" s="74">
        <f>[1]!'@CTA[8-2-3-1-3-1323,F,5,#6]'</f>
        <v>0</v>
      </c>
      <c r="J360" s="75">
        <f>[1]!'@CTA[8-2-1-1-3-1323,F,5,#6]'+[1]!'@CTA[8-2-3-1-3-1323,F,5,#6]'</f>
        <v>126974</v>
      </c>
      <c r="K360" s="76">
        <f>[1]!'@CTA[8-2-4-1-3-1323,J,5,#6]'</f>
        <v>2567.46</v>
      </c>
      <c r="L360" s="76">
        <f>[1]!'@CTA[8-2-5-1-3-1323,J,5,#6]'</f>
        <v>2567.46</v>
      </c>
      <c r="M360" s="76">
        <f>[1]!'@CTA[8-2-6-1-3-1323,J,5,#6]'</f>
        <v>2567.46</v>
      </c>
      <c r="N360" s="74">
        <f>[1]!'@CTA[8-2-7-1-3-1323,F,5,#6]'</f>
        <v>2567.4599999999855</v>
      </c>
      <c r="O360" s="66">
        <f t="shared" si="21"/>
        <v>124406.54</v>
      </c>
    </row>
    <row r="361" spans="1:15" ht="108" x14ac:dyDescent="0.2">
      <c r="A361" s="67" t="s">
        <v>286</v>
      </c>
      <c r="B361" s="61" t="s">
        <v>152</v>
      </c>
      <c r="C361" s="61" t="s">
        <v>149</v>
      </c>
      <c r="D361" s="62" t="s">
        <v>289</v>
      </c>
      <c r="E361" s="71" t="s">
        <v>153</v>
      </c>
      <c r="F361" s="72">
        <v>1331</v>
      </c>
      <c r="G361" s="73" t="s">
        <v>161</v>
      </c>
      <c r="H361" s="74">
        <f>[1]!'@CTA[8-2-1-1-3-1331,F,5,#6]'</f>
        <v>0</v>
      </c>
      <c r="I361" s="74">
        <f>[1]!'@CTA[8-2-3-1-3-1331,F,5,#6]'</f>
        <v>0</v>
      </c>
      <c r="J361" s="75">
        <f>[1]!'@CTA[8-2-1-1-3-1331,F,5,#6]'+[1]!'@CTA[8-2-3-1-3-1331,F,5,#6]'</f>
        <v>0</v>
      </c>
      <c r="K361" s="76">
        <f>[1]!'@CTA[8-2-4-1-3-1331,J,5,#6]'</f>
        <v>0</v>
      </c>
      <c r="L361" s="76">
        <f>[1]!'@CTA[8-2-5-1-3-1331,J,5,#6]'</f>
        <v>0</v>
      </c>
      <c r="M361" s="76">
        <f>[1]!'@CTA[8-2-6-1-3-1331,J,5,#6]'</f>
        <v>0</v>
      </c>
      <c r="N361" s="74">
        <f>[1]!'@CTA[8-2-7-1-3-1331,F,5,#6]'</f>
        <v>0</v>
      </c>
      <c r="O361" s="66">
        <f t="shared" si="21"/>
        <v>0</v>
      </c>
    </row>
    <row r="362" spans="1:15" ht="108" x14ac:dyDescent="0.2">
      <c r="A362" s="67" t="s">
        <v>286</v>
      </c>
      <c r="B362" s="61" t="s">
        <v>152</v>
      </c>
      <c r="C362" s="61" t="s">
        <v>149</v>
      </c>
      <c r="D362" s="62" t="s">
        <v>289</v>
      </c>
      <c r="E362" s="71" t="s">
        <v>153</v>
      </c>
      <c r="F362" s="72">
        <v>1341</v>
      </c>
      <c r="G362" s="73" t="s">
        <v>162</v>
      </c>
      <c r="H362" s="74">
        <f>[1]!'@CTA[8-2-1-1-3-1341,F,5,#6]'</f>
        <v>30232</v>
      </c>
      <c r="I362" s="74">
        <f>[1]!'@CTA[8-2-3-1-3-1341,F,5,#6]'</f>
        <v>0</v>
      </c>
      <c r="J362" s="75">
        <f>[1]!'@CTA[8-2-1-1-3-1341,F,5,#6]'+[1]!'@CTA[8-2-3-1-3-1341,F,5,#6]'</f>
        <v>30232</v>
      </c>
      <c r="K362" s="76">
        <f>[1]!'@CTA[8-2-4-1-3-1341,J,5,#6]'</f>
        <v>0</v>
      </c>
      <c r="L362" s="76">
        <f>[1]!'@CTA[8-2-5-1-3-1341,J,5,#6]'</f>
        <v>0</v>
      </c>
      <c r="M362" s="76">
        <f>[1]!'@CTA[8-2-6-1-3-1341,J,5,#6]'</f>
        <v>0</v>
      </c>
      <c r="N362" s="74">
        <f>[1]!'@CTA[8-2-7-1-3-1341,F,5,#6]'</f>
        <v>-3.637978807091713E-12</v>
      </c>
      <c r="O362" s="66">
        <f t="shared" si="21"/>
        <v>30232</v>
      </c>
    </row>
    <row r="363" spans="1:15" ht="108" x14ac:dyDescent="0.2">
      <c r="A363" s="67" t="s">
        <v>286</v>
      </c>
      <c r="B363" s="61" t="s">
        <v>163</v>
      </c>
      <c r="C363" s="61" t="s">
        <v>149</v>
      </c>
      <c r="D363" s="62" t="s">
        <v>289</v>
      </c>
      <c r="E363" s="71" t="s">
        <v>164</v>
      </c>
      <c r="F363" s="72">
        <v>1411</v>
      </c>
      <c r="G363" s="73" t="s">
        <v>165</v>
      </c>
      <c r="H363" s="74">
        <f>[1]!'@CTA[8-2-1-1-4-1411,F,5,#6]'</f>
        <v>143791</v>
      </c>
      <c r="I363" s="74">
        <f>[1]!'@CTA[8-2-3-1-4-1411,F,5,#6]'</f>
        <v>11122.07</v>
      </c>
      <c r="J363" s="75">
        <f>[1]!'@CTA[8-2-1-1-4-1411,F,5,#6]'+[1]!'@CTA[8-2-3-1-4-1411,F,5,#6]'</f>
        <v>154913.07</v>
      </c>
      <c r="K363" s="76">
        <f>[1]!'@CTA[8-2-4-1-4-1411,J,5,#6]'</f>
        <v>32981.769999999997</v>
      </c>
      <c r="L363" s="76">
        <f>[1]!'@CTA[8-2-5-1-4-1411,J,5,#6]'</f>
        <v>32981.769999999997</v>
      </c>
      <c r="M363" s="76">
        <f>[1]!'@CTA[8-2-6-1-4-1411,J,5,#6]'</f>
        <v>32981.769999999997</v>
      </c>
      <c r="N363" s="74">
        <f>[1]!'@CTA[8-2-7-1-4-1411,F,5,#6]'</f>
        <v>22702.260000000013</v>
      </c>
      <c r="O363" s="66">
        <f t="shared" si="21"/>
        <v>121931.30000000002</v>
      </c>
    </row>
    <row r="364" spans="1:15" ht="108" x14ac:dyDescent="0.2">
      <c r="A364" s="67" t="s">
        <v>286</v>
      </c>
      <c r="B364" s="61" t="s">
        <v>163</v>
      </c>
      <c r="C364" s="61" t="s">
        <v>149</v>
      </c>
      <c r="D364" s="62" t="s">
        <v>289</v>
      </c>
      <c r="E364" s="71" t="s">
        <v>164</v>
      </c>
      <c r="F364" s="72">
        <v>1421</v>
      </c>
      <c r="G364" s="73" t="s">
        <v>166</v>
      </c>
      <c r="H364" s="74">
        <f>[1]!'@CTA[8-2-1-1-4-1421,F,5,#6]'</f>
        <v>70166</v>
      </c>
      <c r="I364" s="74">
        <f>[1]!'@CTA[8-2-3-1-4-1421,F,5,#6]'</f>
        <v>9586.4500000000007</v>
      </c>
      <c r="J364" s="75">
        <f>[1]!'@CTA[8-2-1-1-4-1421,F,5,#6]'+[1]!'@CTA[8-2-3-1-4-1421,F,5,#6]'</f>
        <v>79752.45</v>
      </c>
      <c r="K364" s="76">
        <f>[1]!'@CTA[8-2-4-1-4-1421,J,5,#6]'</f>
        <v>11157.94</v>
      </c>
      <c r="L364" s="76">
        <f>[1]!'@CTA[8-2-5-1-4-1421,J,5,#6]'</f>
        <v>11157.94</v>
      </c>
      <c r="M364" s="76">
        <f>[1]!'@CTA[8-2-6-1-4-1421,J,5,#6]'</f>
        <v>11157.94</v>
      </c>
      <c r="N364" s="74">
        <f>[1]!'@CTA[8-2-7-1-4-1421,F,5,#6]'</f>
        <v>11157.940000000022</v>
      </c>
      <c r="O364" s="66">
        <f t="shared" si="21"/>
        <v>68594.509999999995</v>
      </c>
    </row>
    <row r="365" spans="1:15" ht="108" x14ac:dyDescent="0.2">
      <c r="A365" s="67" t="s">
        <v>286</v>
      </c>
      <c r="B365" s="61" t="s">
        <v>163</v>
      </c>
      <c r="C365" s="61" t="s">
        <v>149</v>
      </c>
      <c r="D365" s="62" t="s">
        <v>289</v>
      </c>
      <c r="E365" s="71" t="s">
        <v>164</v>
      </c>
      <c r="F365" s="72">
        <v>1431</v>
      </c>
      <c r="G365" s="73" t="s">
        <v>167</v>
      </c>
      <c r="H365" s="74">
        <f>[1]!'@CTA[8-2-1-1-4-1431,F,5,#6]'</f>
        <v>72271</v>
      </c>
      <c r="I365" s="74">
        <f>[1]!'@CTA[8-2-3-1-4-1431,F,5,#6]'</f>
        <v>9874.0900000000038</v>
      </c>
      <c r="J365" s="75">
        <f>[1]!'@CTA[8-2-1-1-4-1431,F,5,#6]'+[1]!'@CTA[8-2-3-1-4-1431,F,5,#6]'</f>
        <v>82145.09</v>
      </c>
      <c r="K365" s="76">
        <f>[1]!'@CTA[8-2-4-1-4-1431,J,5,#6]'</f>
        <v>11492.7</v>
      </c>
      <c r="L365" s="76">
        <f>[1]!'@CTA[8-2-5-1-4-1431,J,5,#6]'</f>
        <v>11492.7</v>
      </c>
      <c r="M365" s="76">
        <f>[1]!'@CTA[8-2-6-1-4-1431,J,5,#6]'</f>
        <v>11492.7</v>
      </c>
      <c r="N365" s="74">
        <f>[1]!'@CTA[8-2-7-1-4-1431,F,5,#6]'</f>
        <v>11492.699999999979</v>
      </c>
      <c r="O365" s="66">
        <f t="shared" si="21"/>
        <v>70652.39</v>
      </c>
    </row>
    <row r="366" spans="1:15" ht="108" x14ac:dyDescent="0.2">
      <c r="A366" s="67" t="s">
        <v>286</v>
      </c>
      <c r="B366" s="61" t="s">
        <v>163</v>
      </c>
      <c r="C366" s="61" t="s">
        <v>149</v>
      </c>
      <c r="D366" s="62" t="s">
        <v>289</v>
      </c>
      <c r="E366" s="71" t="s">
        <v>164</v>
      </c>
      <c r="F366" s="72">
        <v>1441</v>
      </c>
      <c r="G366" s="73" t="s">
        <v>168</v>
      </c>
      <c r="H366" s="74">
        <f>[1]!'@CTA[8-2-1-1-4-1441,F,5,#6]'</f>
        <v>6101</v>
      </c>
      <c r="I366" s="74">
        <f>[1]!'@CTA[8-2-3-1-4-1441,F,5,#6]'</f>
        <v>0</v>
      </c>
      <c r="J366" s="75">
        <f>[1]!'@CTA[8-2-1-1-4-1441,F,5,#6]'+[1]!'@CTA[8-2-3-1-4-1441,F,5,#6]'</f>
        <v>6101</v>
      </c>
      <c r="K366" s="76">
        <f>[1]!'@CTA[8-2-4-1-4-1441,J,5,#6]'</f>
        <v>1337.1100000000001</v>
      </c>
      <c r="L366" s="76">
        <f>[1]!'@CTA[8-2-5-1-4-1441,J,5,#6]'</f>
        <v>1337.1100000000001</v>
      </c>
      <c r="M366" s="76">
        <f>[1]!'@CTA[8-2-6-1-4-1441,J,5,#6]'</f>
        <v>1337.1100000000001</v>
      </c>
      <c r="N366" s="74">
        <f>[1]!'@CTA[8-2-7-1-4-1441,F,5,#6]'</f>
        <v>1337.110000000001</v>
      </c>
      <c r="O366" s="66">
        <f t="shared" si="21"/>
        <v>4763.8899999999994</v>
      </c>
    </row>
    <row r="367" spans="1:15" ht="108" x14ac:dyDescent="0.2">
      <c r="A367" s="67" t="s">
        <v>286</v>
      </c>
      <c r="B367" s="61" t="s">
        <v>169</v>
      </c>
      <c r="C367" s="61" t="s">
        <v>149</v>
      </c>
      <c r="D367" s="62" t="s">
        <v>289</v>
      </c>
      <c r="E367" s="71" t="s">
        <v>153</v>
      </c>
      <c r="F367" s="72">
        <v>1521</v>
      </c>
      <c r="G367" s="73" t="s">
        <v>170</v>
      </c>
      <c r="H367" s="74">
        <f>[1]!'@CTA[8-2-1-1-5-1521,F,5,#6]'</f>
        <v>0</v>
      </c>
      <c r="I367" s="74">
        <f>[1]!'@CTA[8-2-3-1-5-1521,F,5,#6]'</f>
        <v>0</v>
      </c>
      <c r="J367" s="75">
        <f>[1]!'@CTA[8-2-1-1-5-1521,F,5,#6]'+[1]!'@CTA[8-2-3-1-5-1521,F,5,#6]'</f>
        <v>0</v>
      </c>
      <c r="K367" s="76">
        <f>[1]!'@CTA[8-2-4-1-5-1521,J,5,#6]'</f>
        <v>0</v>
      </c>
      <c r="L367" s="76">
        <f>[1]!'@CTA[8-2-5-1-5-1521,J,5,#6]'</f>
        <v>0</v>
      </c>
      <c r="M367" s="76">
        <f>[1]!'@CTA[8-2-6-1-5-1521,J,5,#6]'</f>
        <v>0</v>
      </c>
      <c r="N367" s="74">
        <f>[1]!'@CTA[8-2-7-1-5-1521,F,5,#6]'</f>
        <v>0</v>
      </c>
      <c r="O367" s="66">
        <f t="shared" si="21"/>
        <v>0</v>
      </c>
    </row>
    <row r="368" spans="1:15" ht="108" x14ac:dyDescent="0.2">
      <c r="A368" s="67" t="s">
        <v>286</v>
      </c>
      <c r="B368" s="61" t="s">
        <v>152</v>
      </c>
      <c r="C368" s="61" t="s">
        <v>149</v>
      </c>
      <c r="D368" s="62" t="s">
        <v>289</v>
      </c>
      <c r="E368" s="71" t="s">
        <v>153</v>
      </c>
      <c r="F368" s="72">
        <v>1522</v>
      </c>
      <c r="G368" s="73" t="s">
        <v>171</v>
      </c>
      <c r="H368" s="74">
        <f>[1]!'@CTA[8-2-1-1-5-1522,F,5,#6]'</f>
        <v>0</v>
      </c>
      <c r="I368" s="74">
        <f>[1]!'@CTA[8-2-3-1-5-1522,F,5,#6]'</f>
        <v>0</v>
      </c>
      <c r="J368" s="75">
        <f>[1]!'@CTA[8-2-1-1-5-1522,F,5,#6]'+[1]!'@CTA[8-2-3-1-5-1522,F,5,#6]'</f>
        <v>0</v>
      </c>
      <c r="K368" s="76">
        <f>[1]!'@CTA[8-2-4-1-5-1522,J,5,#6]'</f>
        <v>0</v>
      </c>
      <c r="L368" s="76">
        <f>[1]!'@CTA[8-2-5-1-5-1522,J,5,#6]'</f>
        <v>0</v>
      </c>
      <c r="M368" s="76">
        <f>[1]!'@CTA[8-2-6-1-5-1522,J,5,#6]'</f>
        <v>0</v>
      </c>
      <c r="N368" s="74">
        <f>[1]!'@CTA[8-2-7-1-5-1522,F,5,#6]'</f>
        <v>0</v>
      </c>
      <c r="O368" s="66">
        <f t="shared" si="21"/>
        <v>0</v>
      </c>
    </row>
    <row r="369" spans="1:15" ht="108" x14ac:dyDescent="0.2">
      <c r="A369" s="67" t="s">
        <v>286</v>
      </c>
      <c r="B369" s="61" t="s">
        <v>152</v>
      </c>
      <c r="C369" s="61" t="s">
        <v>149</v>
      </c>
      <c r="D369" s="62" t="s">
        <v>289</v>
      </c>
      <c r="E369" s="71" t="s">
        <v>153</v>
      </c>
      <c r="F369" s="72">
        <v>1541</v>
      </c>
      <c r="G369" s="73" t="s">
        <v>172</v>
      </c>
      <c r="H369" s="74">
        <f>[1]!'@CTA[8-2-1-1-5-1541,F,5,#6]'</f>
        <v>220571</v>
      </c>
      <c r="I369" s="74">
        <f>[1]!'@CTA[8-2-3-1-5-1541,F,5,#6]'</f>
        <v>0</v>
      </c>
      <c r="J369" s="75">
        <f>[1]!'@CTA[8-2-1-1-5-1541,F,5,#6]'+[1]!'@CTA[8-2-3-1-5-1541,F,5,#6]'</f>
        <v>220571</v>
      </c>
      <c r="K369" s="76">
        <f>[1]!'@CTA[8-2-4-1-5-1541,J,5,#6]'</f>
        <v>55954.42</v>
      </c>
      <c r="L369" s="76">
        <f>[1]!'@CTA[8-2-5-1-5-1541,J,5,#6]'</f>
        <v>55954.42</v>
      </c>
      <c r="M369" s="76">
        <f>[1]!'@CTA[8-2-6-1-5-1541,J,5,#6]'</f>
        <v>55954.42</v>
      </c>
      <c r="N369" s="74">
        <f>[1]!'@CTA[8-2-7-1-5-1541,F,5,#6]'</f>
        <v>55954.41999999994</v>
      </c>
      <c r="O369" s="66">
        <f t="shared" si="21"/>
        <v>164616.58000000002</v>
      </c>
    </row>
    <row r="370" spans="1:15" ht="108" x14ac:dyDescent="0.2">
      <c r="A370" s="67" t="s">
        <v>286</v>
      </c>
      <c r="B370" s="61" t="s">
        <v>152</v>
      </c>
      <c r="C370" s="61" t="s">
        <v>149</v>
      </c>
      <c r="D370" s="62" t="s">
        <v>289</v>
      </c>
      <c r="E370" s="71" t="s">
        <v>153</v>
      </c>
      <c r="F370" s="72">
        <v>1542</v>
      </c>
      <c r="G370" s="73" t="s">
        <v>173</v>
      </c>
      <c r="H370" s="74">
        <f>[1]!'@CTA[8-2-1-1-5-1542,F,5,#6]'</f>
        <v>84649</v>
      </c>
      <c r="I370" s="74">
        <f>[1]!'@CTA[8-2-3-1-5-1542,F,5,#6]'</f>
        <v>0</v>
      </c>
      <c r="J370" s="75">
        <f>[1]!'@CTA[8-2-1-1-5-1542,F,5,#6]'+[1]!'@CTA[8-2-3-1-5-1542,F,5,#6]'</f>
        <v>84649</v>
      </c>
      <c r="K370" s="76">
        <f>[1]!'@CTA[8-2-4-1-5-1542,J,5,#6]'</f>
        <v>24406.949999999997</v>
      </c>
      <c r="L370" s="76">
        <f>[1]!'@CTA[8-2-5-1-5-1542,J,5,#6]'</f>
        <v>24406.949999999997</v>
      </c>
      <c r="M370" s="76">
        <f>[1]!'@CTA[8-2-6-1-5-1542,J,5,#6]'</f>
        <v>24406.949999999997</v>
      </c>
      <c r="N370" s="74">
        <f>[1]!'@CTA[8-2-7-1-5-1542,F,5,#6]'</f>
        <v>17977.600000000028</v>
      </c>
      <c r="O370" s="66">
        <f t="shared" si="21"/>
        <v>60242.05</v>
      </c>
    </row>
    <row r="371" spans="1:15" ht="108" x14ac:dyDescent="0.2">
      <c r="A371" s="67" t="s">
        <v>286</v>
      </c>
      <c r="B371" s="61" t="s">
        <v>152</v>
      </c>
      <c r="C371" s="61" t="s">
        <v>149</v>
      </c>
      <c r="D371" s="62" t="s">
        <v>289</v>
      </c>
      <c r="E371" s="71" t="s">
        <v>153</v>
      </c>
      <c r="F371" s="72">
        <v>1543</v>
      </c>
      <c r="G371" s="73" t="s">
        <v>174</v>
      </c>
      <c r="H371" s="74">
        <f>[1]!'@CTA[8-2-1-1-5-1543,F,5,#6]'</f>
        <v>0</v>
      </c>
      <c r="I371" s="74">
        <f>[1]!'@CTA[8-2-3-1-5-1543,F,5,#6]'</f>
        <v>0</v>
      </c>
      <c r="J371" s="75">
        <f>[1]!'@CTA[8-2-1-1-5-1543,F,5,#6]'+[1]!'@CTA[8-2-3-1-5-1543,F,5,#6]'</f>
        <v>0</v>
      </c>
      <c r="K371" s="76">
        <f>[1]!'@CTA[8-2-4-1-5-1543,J,5,#6]'</f>
        <v>0</v>
      </c>
      <c r="L371" s="76">
        <f>[1]!'@CTA[8-2-5-1-5-1543,J,5,#6]'</f>
        <v>0</v>
      </c>
      <c r="M371" s="76">
        <f>[1]!'@CTA[8-2-6-1-5-1543,J,5,#6]'</f>
        <v>0</v>
      </c>
      <c r="N371" s="74">
        <f>[1]!'@CTA[8-2-7-1-5-1543,F,5,#6]'</f>
        <v>0</v>
      </c>
      <c r="O371" s="66">
        <f t="shared" si="21"/>
        <v>0</v>
      </c>
    </row>
    <row r="372" spans="1:15" ht="108" x14ac:dyDescent="0.2">
      <c r="A372" s="67" t="s">
        <v>286</v>
      </c>
      <c r="B372" s="61" t="s">
        <v>152</v>
      </c>
      <c r="C372" s="61" t="s">
        <v>149</v>
      </c>
      <c r="D372" s="62" t="s">
        <v>289</v>
      </c>
      <c r="E372" s="71" t="s">
        <v>153</v>
      </c>
      <c r="F372" s="72">
        <v>1544</v>
      </c>
      <c r="G372" s="73" t="s">
        <v>175</v>
      </c>
      <c r="H372" s="74">
        <f>[1]!'@CTA[8-2-1-1-5-1544,F,5,#6]'</f>
        <v>7200</v>
      </c>
      <c r="I372" s="74">
        <f>[1]!'@CTA[8-2-3-1-5-1544,F,5,#6]'</f>
        <v>0</v>
      </c>
      <c r="J372" s="75">
        <f>[1]!'@CTA[8-2-1-1-5-1544,F,5,#6]'+[1]!'@CTA[8-2-3-1-5-1544,F,5,#6]'</f>
        <v>7200</v>
      </c>
      <c r="K372" s="76">
        <f>[1]!'@CTA[8-2-4-1-5-1544,J,5,#6]'</f>
        <v>2800</v>
      </c>
      <c r="L372" s="76">
        <f>[1]!'@CTA[8-2-5-1-5-1544,J,5,#6]'</f>
        <v>2800</v>
      </c>
      <c r="M372" s="76">
        <f>[1]!'@CTA[8-2-6-1-5-1544,J,5,#6]'</f>
        <v>2800</v>
      </c>
      <c r="N372" s="74">
        <f>[1]!'@CTA[8-2-7-1-5-1544,F,5,#6]'</f>
        <v>2800</v>
      </c>
      <c r="O372" s="66">
        <f t="shared" si="21"/>
        <v>4400</v>
      </c>
    </row>
    <row r="373" spans="1:15" ht="108" x14ac:dyDescent="0.2">
      <c r="A373" s="67" t="s">
        <v>286</v>
      </c>
      <c r="B373" s="61"/>
      <c r="C373" s="61" t="s">
        <v>149</v>
      </c>
      <c r="D373" s="62" t="s">
        <v>289</v>
      </c>
      <c r="E373" s="61"/>
      <c r="F373" s="63">
        <v>2000</v>
      </c>
      <c r="G373" s="77" t="s">
        <v>176</v>
      </c>
      <c r="H373" s="69">
        <f t="shared" ref="H373:N373" si="26">SUBTOTAL(9,H374:H398)</f>
        <v>983218</v>
      </c>
      <c r="I373" s="69">
        <f t="shared" si="26"/>
        <v>5.6331828091060743E-11</v>
      </c>
      <c r="J373" s="69">
        <f t="shared" si="26"/>
        <v>983218</v>
      </c>
      <c r="K373" s="70">
        <f t="shared" si="26"/>
        <v>273478.65000000002</v>
      </c>
      <c r="L373" s="70">
        <f t="shared" si="26"/>
        <v>273478.65000000002</v>
      </c>
      <c r="M373" s="70">
        <f t="shared" si="26"/>
        <v>273478.65000000002</v>
      </c>
      <c r="N373" s="69">
        <f t="shared" si="26"/>
        <v>272875.91000000003</v>
      </c>
      <c r="O373" s="66">
        <f t="shared" si="21"/>
        <v>709739.35</v>
      </c>
    </row>
    <row r="374" spans="1:15" ht="108" x14ac:dyDescent="0.2">
      <c r="A374" s="67" t="s">
        <v>286</v>
      </c>
      <c r="B374" s="61" t="s">
        <v>152</v>
      </c>
      <c r="C374" s="61" t="s">
        <v>149</v>
      </c>
      <c r="D374" s="62" t="s">
        <v>289</v>
      </c>
      <c r="E374" s="71" t="s">
        <v>177</v>
      </c>
      <c r="F374" s="72">
        <v>2111</v>
      </c>
      <c r="G374" s="73" t="s">
        <v>178</v>
      </c>
      <c r="H374" s="74">
        <f>[1]!'@CTA[8-2-1-2-1-2111,F,5,#6]'</f>
        <v>12442</v>
      </c>
      <c r="I374" s="74">
        <f>[1]!'@CTA[8-2-3-2-1-2111,F,5,#6]'</f>
        <v>-1.8189894035458565E-12</v>
      </c>
      <c r="J374" s="75">
        <f>[1]!'@CTA[8-2-1-2-1-2111,F,5,#6]'+[1]!'@CTA[8-2-3-2-1-2111,F,5,#6]'</f>
        <v>12441.999999999998</v>
      </c>
      <c r="K374" s="76">
        <f>[1]!'@CTA[8-2-4-2-1-2111,J,5,#6]'</f>
        <v>1263.6500000000001</v>
      </c>
      <c r="L374" s="76">
        <f>[1]!'@CTA[8-2-5-2-1-2111,J,5,#6]'</f>
        <v>1263.6500000000001</v>
      </c>
      <c r="M374" s="76">
        <f>[1]!'@CTA[8-2-6-2-1-2111,J,5,#6]'</f>
        <v>1263.6500000000001</v>
      </c>
      <c r="N374" s="74">
        <f>[1]!'@CTA[8-2-7-2-1-2111,F,5,#6]'</f>
        <v>1263.6500000000001</v>
      </c>
      <c r="O374" s="66">
        <f t="shared" si="21"/>
        <v>11178.349999999999</v>
      </c>
    </row>
    <row r="375" spans="1:15" ht="108" x14ac:dyDescent="0.2">
      <c r="A375" s="67" t="s">
        <v>286</v>
      </c>
      <c r="B375" s="61" t="s">
        <v>152</v>
      </c>
      <c r="C375" s="61" t="s">
        <v>149</v>
      </c>
      <c r="D375" s="62" t="s">
        <v>289</v>
      </c>
      <c r="E375" s="71" t="s">
        <v>177</v>
      </c>
      <c r="F375" s="72">
        <v>2121</v>
      </c>
      <c r="G375" s="73" t="s">
        <v>179</v>
      </c>
      <c r="H375" s="74">
        <f>[1]!'@CTA[8-2-1-2-1-2121,F,5,#6]'</f>
        <v>5721</v>
      </c>
      <c r="I375" s="74">
        <f>[1]!'@CTA[8-2-3-2-1-2121,F,5,#6]'</f>
        <v>0</v>
      </c>
      <c r="J375" s="75">
        <f>[1]!'@CTA[8-2-1-2-1-2121,F,5,#6]'+[1]!'@CTA[8-2-3-2-1-2121,F,5,#6]'</f>
        <v>5721</v>
      </c>
      <c r="K375" s="76">
        <f>[1]!'@CTA[8-2-4-2-1-2121,J,5,#6]'</f>
        <v>941.48</v>
      </c>
      <c r="L375" s="76">
        <f>[1]!'@CTA[8-2-5-2-1-2121,J,5,#6]'</f>
        <v>941.48</v>
      </c>
      <c r="M375" s="76">
        <f>[1]!'@CTA[8-2-6-2-1-2121,J,5,#6]'</f>
        <v>941.48</v>
      </c>
      <c r="N375" s="74">
        <f>[1]!'@CTA[8-2-7-2-1-2121,F,5,#6]'</f>
        <v>941.47999999999956</v>
      </c>
      <c r="O375" s="66">
        <f t="shared" si="21"/>
        <v>4779.5200000000004</v>
      </c>
    </row>
    <row r="376" spans="1:15" ht="108" x14ac:dyDescent="0.2">
      <c r="A376" s="67" t="s">
        <v>286</v>
      </c>
      <c r="B376" s="61" t="s">
        <v>152</v>
      </c>
      <c r="C376" s="61" t="s">
        <v>149</v>
      </c>
      <c r="D376" s="62" t="s">
        <v>289</v>
      </c>
      <c r="E376" s="71" t="s">
        <v>177</v>
      </c>
      <c r="F376" s="72">
        <v>2131</v>
      </c>
      <c r="G376" s="73" t="s">
        <v>180</v>
      </c>
      <c r="H376" s="74">
        <f>[1]!'@CTA[8-2-1-2-1-2131,F,5,#6]'</f>
        <v>0</v>
      </c>
      <c r="I376" s="74">
        <f>[1]!'@CTA[8-2-3-2-1-2131,F,5,#6]'</f>
        <v>0</v>
      </c>
      <c r="J376" s="75">
        <f>[1]!'@CTA[8-2-1-2-1-2131,F,5,#6]'+[1]!'@CTA[8-2-3-2-1-2131,F,5,#6]'</f>
        <v>0</v>
      </c>
      <c r="K376" s="76">
        <f>[1]!'@CTA[8-2-4-2-1-2131,J,5,#6]'</f>
        <v>0</v>
      </c>
      <c r="L376" s="76">
        <f>[1]!'@CTA[8-2-5-2-1-2131,J,5,#6]'</f>
        <v>0</v>
      </c>
      <c r="M376" s="76">
        <f>[1]!'@CTA[8-2-6-2-1-2131,J,5,#6]'</f>
        <v>0</v>
      </c>
      <c r="N376" s="74">
        <f>[1]!'@CTA[8-2-7-2-1-2131,F,5,#6]'</f>
        <v>0</v>
      </c>
      <c r="O376" s="66">
        <f t="shared" si="21"/>
        <v>0</v>
      </c>
    </row>
    <row r="377" spans="1:15" ht="108" x14ac:dyDescent="0.2">
      <c r="A377" s="67" t="s">
        <v>286</v>
      </c>
      <c r="B377" s="61" t="s">
        <v>152</v>
      </c>
      <c r="C377" s="61" t="s">
        <v>149</v>
      </c>
      <c r="D377" s="62" t="s">
        <v>289</v>
      </c>
      <c r="E377" s="71" t="s">
        <v>177</v>
      </c>
      <c r="F377" s="72">
        <v>2141</v>
      </c>
      <c r="G377" s="73" t="s">
        <v>181</v>
      </c>
      <c r="H377" s="74">
        <f>[1]!'@CTA[8-2-1-2-1-2141,F,5,#6]'</f>
        <v>181</v>
      </c>
      <c r="I377" s="74">
        <f>[1]!'@CTA[8-2-3-2-1-2141,F,5,#6]'</f>
        <v>0</v>
      </c>
      <c r="J377" s="75">
        <f>[1]!'@CTA[8-2-1-2-1-2141,F,5,#6]'+[1]!'@CTA[8-2-3-2-1-2141,F,5,#6]'</f>
        <v>181</v>
      </c>
      <c r="K377" s="76">
        <f>[1]!'@CTA[8-2-4-2-1-2141,J,5,#6]'</f>
        <v>0</v>
      </c>
      <c r="L377" s="76">
        <f>[1]!'@CTA[8-2-5-2-1-2141,J,5,#6]'</f>
        <v>0</v>
      </c>
      <c r="M377" s="76">
        <f>[1]!'@CTA[8-2-6-2-1-2141,J,5,#6]'</f>
        <v>0</v>
      </c>
      <c r="N377" s="74">
        <f>[1]!'@CTA[8-2-7-2-1-2141,F,5,#6]'</f>
        <v>1.8189894035458565E-12</v>
      </c>
      <c r="O377" s="66">
        <f t="shared" si="21"/>
        <v>181</v>
      </c>
    </row>
    <row r="378" spans="1:15" ht="108" x14ac:dyDescent="0.2">
      <c r="A378" s="67" t="s">
        <v>286</v>
      </c>
      <c r="B378" s="61" t="s">
        <v>152</v>
      </c>
      <c r="C378" s="61" t="s">
        <v>149</v>
      </c>
      <c r="D378" s="62" t="s">
        <v>289</v>
      </c>
      <c r="E378" s="71" t="s">
        <v>177</v>
      </c>
      <c r="F378" s="72">
        <v>2151</v>
      </c>
      <c r="G378" s="73" t="s">
        <v>182</v>
      </c>
      <c r="H378" s="74">
        <f>[1]!'@CTA[8-2-1-2-1-2151,F,5,#6]'</f>
        <v>0</v>
      </c>
      <c r="I378" s="74">
        <f>[1]!'@CTA[8-2-3-2-1-2151,F,5,#6]'</f>
        <v>0</v>
      </c>
      <c r="J378" s="75">
        <f>[1]!'@CTA[8-2-1-2-1-2151,F,5,#6]'+[1]!'@CTA[8-2-3-2-1-2151,F,5,#6]'</f>
        <v>0</v>
      </c>
      <c r="K378" s="76">
        <f>[1]!'@CTA[8-2-4-2-1-2151,J,5,#6]'</f>
        <v>0</v>
      </c>
      <c r="L378" s="76">
        <f>[1]!'@CTA[8-2-5-2-1-2151,J,5,#6]'</f>
        <v>0</v>
      </c>
      <c r="M378" s="76">
        <f>[1]!'@CTA[8-2-6-2-1-2151,J,5,#6]'</f>
        <v>0</v>
      </c>
      <c r="N378" s="74">
        <f>[1]!'@CTA[8-2-7-2-1-2151,F,5,#6]'</f>
        <v>0</v>
      </c>
      <c r="O378" s="66">
        <f t="shared" si="21"/>
        <v>0</v>
      </c>
    </row>
    <row r="379" spans="1:15" ht="108" x14ac:dyDescent="0.2">
      <c r="A379" s="67" t="s">
        <v>286</v>
      </c>
      <c r="B379" s="61" t="s">
        <v>152</v>
      </c>
      <c r="C379" s="61" t="s">
        <v>149</v>
      </c>
      <c r="D379" s="62" t="s">
        <v>289</v>
      </c>
      <c r="E379" s="71" t="s">
        <v>177</v>
      </c>
      <c r="F379" s="72">
        <v>2161</v>
      </c>
      <c r="G379" s="73" t="s">
        <v>183</v>
      </c>
      <c r="H379" s="74">
        <f>[1]!'@CTA[8-2-1-2-1-2161,F,5,#6]'</f>
        <v>0</v>
      </c>
      <c r="I379" s="74">
        <f>[1]!'@CTA[8-2-3-2-1-2161,F,5,#6]'</f>
        <v>0</v>
      </c>
      <c r="J379" s="75">
        <f>[1]!'@CTA[8-2-1-2-1-2161,F,5,#6]'+[1]!'@CTA[8-2-3-2-1-2161,F,5,#6]'</f>
        <v>0</v>
      </c>
      <c r="K379" s="76">
        <f>[1]!'@CTA[8-2-4-2-1-2161,J,5,#6]'</f>
        <v>0</v>
      </c>
      <c r="L379" s="76">
        <f>[1]!'@CTA[8-2-5-2-1-2161,J,5,#6]'</f>
        <v>0</v>
      </c>
      <c r="M379" s="76">
        <f>[1]!'@CTA[8-2-6-2-1-2161,J,5,#6]'</f>
        <v>0</v>
      </c>
      <c r="N379" s="74">
        <f>[1]!'@CTA[8-2-7-2-1-2161,F,5,#6]'</f>
        <v>0</v>
      </c>
      <c r="O379" s="66">
        <f t="shared" si="21"/>
        <v>0</v>
      </c>
    </row>
    <row r="380" spans="1:15" ht="108" x14ac:dyDescent="0.2">
      <c r="A380" s="67" t="s">
        <v>286</v>
      </c>
      <c r="B380" s="61" t="s">
        <v>152</v>
      </c>
      <c r="C380" s="61" t="s">
        <v>149</v>
      </c>
      <c r="D380" s="62" t="s">
        <v>289</v>
      </c>
      <c r="E380" s="71" t="s">
        <v>177</v>
      </c>
      <c r="F380" s="72">
        <v>2171</v>
      </c>
      <c r="G380" s="73" t="s">
        <v>184</v>
      </c>
      <c r="H380" s="74">
        <f>[1]!'@CTA[8-2-1-2-1-2171,F,5,#6]'</f>
        <v>0</v>
      </c>
      <c r="I380" s="74">
        <f>[1]!'@CTA[8-2-3-2-1-2171,F,5,#6]'</f>
        <v>0</v>
      </c>
      <c r="J380" s="75">
        <f>[1]!'@CTA[8-2-1-2-1-2171,F,5,#6]'+[1]!'@CTA[8-2-3-2-1-2171,F,5,#6]'</f>
        <v>0</v>
      </c>
      <c r="K380" s="76">
        <f>[1]!'@CTA[8-2-4-2-1-2171,J,5,#6]'</f>
        <v>0</v>
      </c>
      <c r="L380" s="76">
        <f>[1]!'@CTA[8-2-5-2-1-2171,J,5,#6]'</f>
        <v>0</v>
      </c>
      <c r="M380" s="76">
        <f>[1]!'@CTA[8-2-6-2-1-2171,J,5,#6]'</f>
        <v>0</v>
      </c>
      <c r="N380" s="74">
        <f>[1]!'@CTA[8-2-7-2-1-2171,F,5,#6]'</f>
        <v>0</v>
      </c>
      <c r="O380" s="66">
        <f t="shared" si="21"/>
        <v>0</v>
      </c>
    </row>
    <row r="381" spans="1:15" ht="108" x14ac:dyDescent="0.2">
      <c r="A381" s="67" t="s">
        <v>286</v>
      </c>
      <c r="B381" s="61" t="s">
        <v>152</v>
      </c>
      <c r="C381" s="61" t="s">
        <v>149</v>
      </c>
      <c r="D381" s="62" t="s">
        <v>289</v>
      </c>
      <c r="E381" s="71" t="s">
        <v>177</v>
      </c>
      <c r="F381" s="72">
        <v>2211</v>
      </c>
      <c r="G381" s="73" t="s">
        <v>185</v>
      </c>
      <c r="H381" s="74">
        <f>[1]!'@CTA[8-2-1-2-2-2211,F,5,#6]'</f>
        <v>0</v>
      </c>
      <c r="I381" s="74">
        <f>[1]!'@CTA[8-2-3-2-2-2211,F,5,#6]'</f>
        <v>0</v>
      </c>
      <c r="J381" s="75">
        <f>[1]!'@CTA[8-2-1-2-2-2211,F,5,#6]'+[1]!'@CTA[8-2-3-2-2-2211,F,5,#6]'</f>
        <v>0</v>
      </c>
      <c r="K381" s="76">
        <f>[1]!'@CTA[8-2-4-2-2-2211,J,5,#6]'</f>
        <v>0</v>
      </c>
      <c r="L381" s="76">
        <f>[1]!'@CTA[8-2-5-2-2-2211,J,5,#6]'</f>
        <v>0</v>
      </c>
      <c r="M381" s="76">
        <f>[1]!'@CTA[8-2-6-2-2-2211,J,5,#6]'</f>
        <v>0</v>
      </c>
      <c r="N381" s="74">
        <f>[1]!'@CTA[8-2-7-2-2-2211,F,5,#6]'</f>
        <v>7.1054273576010019E-15</v>
      </c>
      <c r="O381" s="66">
        <f t="shared" si="21"/>
        <v>0</v>
      </c>
    </row>
    <row r="382" spans="1:15" ht="108" x14ac:dyDescent="0.2">
      <c r="A382" s="67" t="s">
        <v>286</v>
      </c>
      <c r="B382" s="61" t="s">
        <v>152</v>
      </c>
      <c r="C382" s="61" t="s">
        <v>149</v>
      </c>
      <c r="D382" s="62" t="s">
        <v>289</v>
      </c>
      <c r="E382" s="71" t="s">
        <v>177</v>
      </c>
      <c r="F382" s="72">
        <v>2231</v>
      </c>
      <c r="G382" s="73" t="s">
        <v>186</v>
      </c>
      <c r="H382" s="74">
        <f>[1]!'@CTA[8-2-1-2-2-2231,F,5,#6]'</f>
        <v>1008</v>
      </c>
      <c r="I382" s="74">
        <f>[1]!'@CTA[8-2-3-2-2-2231,F,5,#6]'</f>
        <v>0</v>
      </c>
      <c r="J382" s="75">
        <f>[1]!'@CTA[8-2-1-2-2-2231,F,5,#6]'+[1]!'@CTA[8-2-3-2-2-2231,F,5,#6]'</f>
        <v>1008</v>
      </c>
      <c r="K382" s="76">
        <f>[1]!'@CTA[8-2-4-2-2-2231,J,5,#6]'</f>
        <v>386.16999999999996</v>
      </c>
      <c r="L382" s="76">
        <f>[1]!'@CTA[8-2-5-2-2-2231,J,5,#6]'</f>
        <v>386.16999999999996</v>
      </c>
      <c r="M382" s="76">
        <f>[1]!'@CTA[8-2-6-2-2-2231,J,5,#6]'</f>
        <v>386.16999999999996</v>
      </c>
      <c r="N382" s="74">
        <f>[1]!'@CTA[8-2-7-2-2-2231,F,5,#6]'</f>
        <v>326.94999999999965</v>
      </c>
      <c r="O382" s="66">
        <f t="shared" si="21"/>
        <v>621.83000000000004</v>
      </c>
    </row>
    <row r="383" spans="1:15" ht="108" x14ac:dyDescent="0.2">
      <c r="A383" s="67" t="s">
        <v>286</v>
      </c>
      <c r="B383" s="61" t="s">
        <v>152</v>
      </c>
      <c r="C383" s="61" t="s">
        <v>149</v>
      </c>
      <c r="D383" s="62" t="s">
        <v>289</v>
      </c>
      <c r="E383" s="71" t="s">
        <v>177</v>
      </c>
      <c r="F383" s="72">
        <v>2411</v>
      </c>
      <c r="G383" s="73" t="s">
        <v>187</v>
      </c>
      <c r="H383" s="74">
        <f>[1]!'@CTA[8-2-1-2-4-2411,F,5,#6]'</f>
        <v>0</v>
      </c>
      <c r="I383" s="74">
        <f>[1]!'@CTA[8-2-3-2-4-2411,F,5,#6]'</f>
        <v>0</v>
      </c>
      <c r="J383" s="75">
        <f>[1]!'@CTA[8-2-1-2-4-2411,F,5,#6]'+[1]!'@CTA[8-2-3-2-4-2411,F,5,#6]'</f>
        <v>0</v>
      </c>
      <c r="K383" s="76">
        <f>[1]!'@CTA[8-2-4-2-4-2411,J,5,#6]'</f>
        <v>0</v>
      </c>
      <c r="L383" s="76">
        <f>[1]!'@CTA[8-2-5-2-4-2411,J,5,#6]'</f>
        <v>0</v>
      </c>
      <c r="M383" s="76">
        <f>[1]!'@CTA[8-2-6-2-4-2411,J,5,#6]'</f>
        <v>0</v>
      </c>
      <c r="N383" s="74">
        <f>[1]!'@CTA[8-2-7-2-4-2411,F,5,#6]'</f>
        <v>0</v>
      </c>
      <c r="O383" s="66">
        <f t="shared" si="21"/>
        <v>0</v>
      </c>
    </row>
    <row r="384" spans="1:15" ht="108" x14ac:dyDescent="0.2">
      <c r="A384" s="67" t="s">
        <v>286</v>
      </c>
      <c r="B384" s="61" t="s">
        <v>152</v>
      </c>
      <c r="C384" s="61" t="s">
        <v>149</v>
      </c>
      <c r="D384" s="62" t="s">
        <v>289</v>
      </c>
      <c r="E384" s="71" t="s">
        <v>177</v>
      </c>
      <c r="F384" s="72">
        <v>2461</v>
      </c>
      <c r="G384" s="73" t="s">
        <v>188</v>
      </c>
      <c r="H384" s="74">
        <f>[1]!'@CTA[8-2-1-2-4-2461,F,5,#6]'</f>
        <v>1340</v>
      </c>
      <c r="I384" s="74">
        <f>[1]!'@CTA[8-2-3-2-4-2461,F,5,#6]'</f>
        <v>0</v>
      </c>
      <c r="J384" s="75">
        <f>[1]!'@CTA[8-2-1-2-4-2461,F,5,#6]'+[1]!'@CTA[8-2-3-2-4-2461,F,5,#6]'</f>
        <v>1340</v>
      </c>
      <c r="K384" s="76">
        <f>[1]!'@CTA[8-2-4-2-4-2461,J,5,#6]'</f>
        <v>0</v>
      </c>
      <c r="L384" s="76">
        <f>[1]!'@CTA[8-2-5-2-4-2461,J,5,#6]'</f>
        <v>0</v>
      </c>
      <c r="M384" s="76">
        <f>[1]!'@CTA[8-2-6-2-4-2461,J,5,#6]'</f>
        <v>0</v>
      </c>
      <c r="N384" s="74">
        <f>[1]!'@CTA[8-2-7-2-4-2461,F,5,#6]'</f>
        <v>5.6843418860808015E-14</v>
      </c>
      <c r="O384" s="66">
        <f t="shared" si="21"/>
        <v>1340</v>
      </c>
    </row>
    <row r="385" spans="1:15" ht="108" x14ac:dyDescent="0.2">
      <c r="A385" s="67" t="s">
        <v>286</v>
      </c>
      <c r="B385" s="61" t="s">
        <v>152</v>
      </c>
      <c r="C385" s="61" t="s">
        <v>149</v>
      </c>
      <c r="D385" s="62" t="s">
        <v>289</v>
      </c>
      <c r="E385" s="71" t="s">
        <v>177</v>
      </c>
      <c r="F385" s="72">
        <v>2471</v>
      </c>
      <c r="G385" s="73" t="s">
        <v>189</v>
      </c>
      <c r="H385" s="74">
        <f>[1]!'@CTA[8-2-1-2-4-2471,F,5,#6]'</f>
        <v>0</v>
      </c>
      <c r="I385" s="74">
        <f>[1]!'@CTA[8-2-3-2-4-2471,F,5,#6]'</f>
        <v>0</v>
      </c>
      <c r="J385" s="75">
        <f>[1]!'@CTA[8-2-1-2-4-2471,F,5,#6]'+[1]!'@CTA[8-2-3-2-4-2471,F,5,#6]'</f>
        <v>0</v>
      </c>
      <c r="K385" s="76">
        <f>[1]!'@CTA[8-2-4-2-4-2471,J,5,#6]'</f>
        <v>0</v>
      </c>
      <c r="L385" s="76">
        <f>[1]!'@CTA[8-2-5-2-4-2471,J,5,#6]'</f>
        <v>0</v>
      </c>
      <c r="M385" s="76">
        <f>[1]!'@CTA[8-2-6-2-4-2471,J,5,#6]'</f>
        <v>0</v>
      </c>
      <c r="N385" s="74">
        <f>[1]!'@CTA[8-2-7-2-4-2471,F,5,#6]'</f>
        <v>0</v>
      </c>
      <c r="O385" s="66">
        <f t="shared" si="21"/>
        <v>0</v>
      </c>
    </row>
    <row r="386" spans="1:15" ht="108" x14ac:dyDescent="0.2">
      <c r="A386" s="67" t="s">
        <v>286</v>
      </c>
      <c r="B386" s="61" t="s">
        <v>152</v>
      </c>
      <c r="C386" s="61" t="s">
        <v>149</v>
      </c>
      <c r="D386" s="62" t="s">
        <v>289</v>
      </c>
      <c r="E386" s="71" t="s">
        <v>177</v>
      </c>
      <c r="F386" s="72">
        <v>2481</v>
      </c>
      <c r="G386" s="73" t="s">
        <v>190</v>
      </c>
      <c r="H386" s="74">
        <f>[1]!'@CTA[8-2-1-2-4-2481,F,5,#6]'</f>
        <v>0</v>
      </c>
      <c r="I386" s="74">
        <f>[1]!'@CTA[8-2-3-2-4-2481,F,5,#6]'</f>
        <v>0</v>
      </c>
      <c r="J386" s="75">
        <f>[1]!'@CTA[8-2-1-2-4-2481,F,5,#6]'+[1]!'@CTA[8-2-3-2-4-2481,F,5,#6]'</f>
        <v>0</v>
      </c>
      <c r="K386" s="76">
        <f>[1]!'@CTA[8-2-4-2-4-2481,J,5,#6]'</f>
        <v>0</v>
      </c>
      <c r="L386" s="76">
        <f>[1]!'@CTA[8-2-5-2-4-2481,J,5,#6]'</f>
        <v>0</v>
      </c>
      <c r="M386" s="76">
        <f>[1]!'@CTA[8-2-6-2-4-2481,J,5,#6]'</f>
        <v>0</v>
      </c>
      <c r="N386" s="74">
        <f>[1]!'@CTA[8-2-7-2-4-2481,F,5,#6]'</f>
        <v>0</v>
      </c>
      <c r="O386" s="66">
        <f t="shared" si="21"/>
        <v>0</v>
      </c>
    </row>
    <row r="387" spans="1:15" ht="108" x14ac:dyDescent="0.2">
      <c r="A387" s="67" t="s">
        <v>286</v>
      </c>
      <c r="B387" s="61" t="s">
        <v>152</v>
      </c>
      <c r="C387" s="61" t="s">
        <v>149</v>
      </c>
      <c r="D387" s="62" t="s">
        <v>289</v>
      </c>
      <c r="E387" s="71" t="s">
        <v>177</v>
      </c>
      <c r="F387" s="72">
        <v>2491</v>
      </c>
      <c r="G387" s="73" t="s">
        <v>191</v>
      </c>
      <c r="H387" s="74">
        <f>[1]!'@CTA[8-2-1-2-4-2491,F,5,#6]'</f>
        <v>891840</v>
      </c>
      <c r="I387" s="74">
        <f>[1]!'@CTA[8-2-3-2-4-2491,F,5,#6]'</f>
        <v>5.8207660913467407E-11</v>
      </c>
      <c r="J387" s="75">
        <f>[1]!'@CTA[8-2-1-2-4-2491,F,5,#6]'+[1]!'@CTA[8-2-3-2-4-2491,F,5,#6]'</f>
        <v>891840</v>
      </c>
      <c r="K387" s="76">
        <f>[1]!'@CTA[8-2-4-2-4-2491,J,5,#6]'</f>
        <v>252904</v>
      </c>
      <c r="L387" s="76">
        <f>[1]!'@CTA[8-2-5-2-4-2491,J,5,#6]'</f>
        <v>252904</v>
      </c>
      <c r="M387" s="76">
        <f>[1]!'@CTA[8-2-6-2-4-2491,J,5,#6]'</f>
        <v>252904</v>
      </c>
      <c r="N387" s="74">
        <f>[1]!'@CTA[8-2-7-2-4-2491,F,5,#6]'</f>
        <v>252904</v>
      </c>
      <c r="O387" s="66">
        <f t="shared" si="21"/>
        <v>638936</v>
      </c>
    </row>
    <row r="388" spans="1:15" ht="108" x14ac:dyDescent="0.2">
      <c r="A388" s="67" t="s">
        <v>286</v>
      </c>
      <c r="B388" s="61" t="s">
        <v>152</v>
      </c>
      <c r="C388" s="61" t="s">
        <v>149</v>
      </c>
      <c r="D388" s="62" t="s">
        <v>289</v>
      </c>
      <c r="E388" s="71" t="s">
        <v>177</v>
      </c>
      <c r="F388" s="72">
        <v>2492</v>
      </c>
      <c r="G388" s="73" t="s">
        <v>192</v>
      </c>
      <c r="H388" s="74">
        <f>[1]!'@CTA[8-2-1-2-4-2492,F,5,#6]'</f>
        <v>0</v>
      </c>
      <c r="I388" s="74">
        <f>[1]!'@CTA[8-2-3-2-4-2492,F,5,#6]'</f>
        <v>0</v>
      </c>
      <c r="J388" s="75">
        <f>[1]!'@CTA[8-2-1-2-4-2492,F,5,#6]'+[1]!'@CTA[8-2-3-2-4-2492,F,5,#6]'</f>
        <v>0</v>
      </c>
      <c r="K388" s="76">
        <f>[1]!'@CTA[8-2-4-2-4-2492,J,5,#6]'</f>
        <v>0</v>
      </c>
      <c r="L388" s="76">
        <f>[1]!'@CTA[8-2-5-2-4-2492,J,5,#6]'</f>
        <v>0</v>
      </c>
      <c r="M388" s="76">
        <f>[1]!'@CTA[8-2-6-2-4-2492,J,5,#6]'</f>
        <v>0</v>
      </c>
      <c r="N388" s="74">
        <f>[1]!'@CTA[8-2-7-2-4-2492,F,5,#6]'</f>
        <v>0</v>
      </c>
      <c r="O388" s="66">
        <f t="shared" si="21"/>
        <v>0</v>
      </c>
    </row>
    <row r="389" spans="1:15" ht="108" x14ac:dyDescent="0.2">
      <c r="A389" s="67" t="s">
        <v>286</v>
      </c>
      <c r="B389" s="61" t="s">
        <v>152</v>
      </c>
      <c r="C389" s="61" t="s">
        <v>149</v>
      </c>
      <c r="D389" s="62" t="s">
        <v>289</v>
      </c>
      <c r="E389" s="71" t="s">
        <v>177</v>
      </c>
      <c r="F389" s="72">
        <v>2531</v>
      </c>
      <c r="G389" s="73" t="s">
        <v>193</v>
      </c>
      <c r="H389" s="74">
        <f>[1]!'@CTA[8-2-1-2-5-2531,F,5,#6]'</f>
        <v>0</v>
      </c>
      <c r="I389" s="74">
        <f>[1]!'@CTA[8-2-3-2-5-2531,F,5,#6]'</f>
        <v>0</v>
      </c>
      <c r="J389" s="75">
        <f>[1]!'@CTA[8-2-1-2-5-2531,F,5,#6]'+[1]!'@CTA[8-2-3-2-5-2531,F,5,#6]'</f>
        <v>0</v>
      </c>
      <c r="K389" s="76">
        <f>[1]!'@CTA[8-2-4-2-5-2531,J,5,#6]'</f>
        <v>0</v>
      </c>
      <c r="L389" s="76">
        <f>[1]!'@CTA[8-2-5-2-5-2531,J,5,#6]'</f>
        <v>0</v>
      </c>
      <c r="M389" s="76">
        <f>[1]!'@CTA[8-2-6-2-5-2531,J,5,#6]'</f>
        <v>0</v>
      </c>
      <c r="N389" s="74">
        <f>[1]!'@CTA[8-2-7-2-5-2531,F,5,#6]'</f>
        <v>0</v>
      </c>
      <c r="O389" s="66">
        <f t="shared" si="21"/>
        <v>0</v>
      </c>
    </row>
    <row r="390" spans="1:15" ht="108" x14ac:dyDescent="0.2">
      <c r="A390" s="67" t="s">
        <v>286</v>
      </c>
      <c r="B390" s="61" t="s">
        <v>152</v>
      </c>
      <c r="C390" s="61" t="s">
        <v>149</v>
      </c>
      <c r="D390" s="62" t="s">
        <v>289</v>
      </c>
      <c r="E390" s="71" t="s">
        <v>177</v>
      </c>
      <c r="F390" s="72">
        <v>2551</v>
      </c>
      <c r="G390" s="73" t="s">
        <v>194</v>
      </c>
      <c r="H390" s="74">
        <f>[1]!'@CTA[8-2-1-2-5-2551,F,5,#6]'</f>
        <v>0</v>
      </c>
      <c r="I390" s="74">
        <f>[1]!'@CTA[8-2-3-2-5-2551,F,5,#6]'</f>
        <v>0</v>
      </c>
      <c r="J390" s="75">
        <f>[1]!'@CTA[8-2-1-2-5-2551,F,5,#6]'+[1]!'@CTA[8-2-3-2-5-2551,F,5,#6]'</f>
        <v>0</v>
      </c>
      <c r="K390" s="76">
        <f>[1]!'@CTA[8-2-4-2-5-2551,J,5,#6]'</f>
        <v>0</v>
      </c>
      <c r="L390" s="76">
        <f>[1]!'@CTA[8-2-5-2-5-2551,J,5,#6]'</f>
        <v>0</v>
      </c>
      <c r="M390" s="76">
        <f>[1]!'@CTA[8-2-6-2-5-2551,J,5,#6]'</f>
        <v>0</v>
      </c>
      <c r="N390" s="74">
        <f>[1]!'@CTA[8-2-7-2-5-2551,F,5,#6]'</f>
        <v>0</v>
      </c>
      <c r="O390" s="66">
        <f t="shared" ref="O390:O453" si="27">J390-L390</f>
        <v>0</v>
      </c>
    </row>
    <row r="391" spans="1:15" ht="108" x14ac:dyDescent="0.2">
      <c r="A391" s="67" t="s">
        <v>286</v>
      </c>
      <c r="B391" s="61" t="s">
        <v>152</v>
      </c>
      <c r="C391" s="61" t="s">
        <v>149</v>
      </c>
      <c r="D391" s="62" t="s">
        <v>289</v>
      </c>
      <c r="E391" s="71" t="s">
        <v>177</v>
      </c>
      <c r="F391" s="72">
        <v>2591</v>
      </c>
      <c r="G391" s="73" t="s">
        <v>195</v>
      </c>
      <c r="H391" s="74">
        <f>[1]!'@CTA[8-2-1-2-5-2591,F,5,#6]'</f>
        <v>1252</v>
      </c>
      <c r="I391" s="74">
        <f>[1]!'@CTA[8-2-3-2-5-2591,F,5,#6]'</f>
        <v>0</v>
      </c>
      <c r="J391" s="75">
        <f>[1]!'@CTA[8-2-1-2-5-2591,F,5,#6]'+[1]!'@CTA[8-2-3-2-5-2591,F,5,#6]'</f>
        <v>1252</v>
      </c>
      <c r="K391" s="76">
        <f>[1]!'@CTA[8-2-4-2-5-2591,J,5,#6]'</f>
        <v>26.94</v>
      </c>
      <c r="L391" s="76">
        <f>[1]!'@CTA[8-2-5-2-5-2591,J,5,#6]'</f>
        <v>26.94</v>
      </c>
      <c r="M391" s="76">
        <f>[1]!'@CTA[8-2-6-2-5-2591,J,5,#6]'</f>
        <v>26.94</v>
      </c>
      <c r="N391" s="74">
        <f>[1]!'@CTA[8-2-7-2-5-2591,F,5,#6]'</f>
        <v>4.9737991503207013E-14</v>
      </c>
      <c r="O391" s="66">
        <f t="shared" si="27"/>
        <v>1225.06</v>
      </c>
    </row>
    <row r="392" spans="1:15" ht="108" x14ac:dyDescent="0.2">
      <c r="A392" s="67" t="s">
        <v>286</v>
      </c>
      <c r="B392" s="61" t="s">
        <v>152</v>
      </c>
      <c r="C392" s="61" t="s">
        <v>149</v>
      </c>
      <c r="D392" s="62" t="s">
        <v>289</v>
      </c>
      <c r="E392" s="71" t="s">
        <v>177</v>
      </c>
      <c r="F392" s="72">
        <v>2611</v>
      </c>
      <c r="G392" s="73" t="s">
        <v>196</v>
      </c>
      <c r="H392" s="74">
        <f>[1]!'@CTA[8-2-1-2-6-2611,F,5,#6]'</f>
        <v>12000</v>
      </c>
      <c r="I392" s="74">
        <f>[1]!'@CTA[8-2-3-2-6-2611,F,5,#6]'</f>
        <v>0</v>
      </c>
      <c r="J392" s="75">
        <f>[1]!'@CTA[8-2-1-2-6-2611,F,5,#6]'+[1]!'@CTA[8-2-3-2-6-2611,F,5,#6]'</f>
        <v>12000</v>
      </c>
      <c r="K392" s="76">
        <f>[1]!'@CTA[8-2-4-2-6-2611,J,5,#6]'</f>
        <v>915.59</v>
      </c>
      <c r="L392" s="76">
        <f>[1]!'@CTA[8-2-5-2-6-2611,J,5,#6]'</f>
        <v>915.59</v>
      </c>
      <c r="M392" s="76">
        <f>[1]!'@CTA[8-2-6-2-6-2611,J,5,#6]'</f>
        <v>915.59</v>
      </c>
      <c r="N392" s="74">
        <f>[1]!'@CTA[8-2-7-2-6-2611,F,5,#6]'</f>
        <v>794.01000000000454</v>
      </c>
      <c r="O392" s="66">
        <f t="shared" si="27"/>
        <v>11084.41</v>
      </c>
    </row>
    <row r="393" spans="1:15" ht="108" x14ac:dyDescent="0.2">
      <c r="A393" s="67" t="s">
        <v>286</v>
      </c>
      <c r="B393" s="61" t="s">
        <v>152</v>
      </c>
      <c r="C393" s="61" t="s">
        <v>149</v>
      </c>
      <c r="D393" s="62" t="s">
        <v>289</v>
      </c>
      <c r="E393" s="71" t="s">
        <v>177</v>
      </c>
      <c r="F393" s="72">
        <v>2612</v>
      </c>
      <c r="G393" s="73" t="s">
        <v>197</v>
      </c>
      <c r="H393" s="74">
        <f>[1]!'@CTA[8-2-1-2-6-2612,F,5,#6]'</f>
        <v>0</v>
      </c>
      <c r="I393" s="74">
        <f>[1]!'@CTA[8-2-3-2-6-2612,F,5,#6]'</f>
        <v>0</v>
      </c>
      <c r="J393" s="75">
        <f>[1]!'@CTA[8-2-1-2-6-2612,F,5,#6]'+[1]!'@CTA[8-2-3-2-6-2612,F,5,#6]'</f>
        <v>0</v>
      </c>
      <c r="K393" s="76">
        <f>[1]!'@CTA[8-2-4-2-6-2612,J,5,#6]'</f>
        <v>0</v>
      </c>
      <c r="L393" s="76">
        <f>[1]!'@CTA[8-2-5-2-6-2612,J,5,#6]'</f>
        <v>0</v>
      </c>
      <c r="M393" s="76">
        <f>[1]!'@CTA[8-2-6-2-6-2612,J,5,#6]'</f>
        <v>0</v>
      </c>
      <c r="N393" s="74">
        <f>[1]!'@CTA[8-2-7-2-6-2612,F,5,#6]'</f>
        <v>0</v>
      </c>
      <c r="O393" s="66">
        <f t="shared" si="27"/>
        <v>0</v>
      </c>
    </row>
    <row r="394" spans="1:15" ht="108" x14ac:dyDescent="0.2">
      <c r="A394" s="67" t="s">
        <v>286</v>
      </c>
      <c r="B394" s="61" t="s">
        <v>152</v>
      </c>
      <c r="C394" s="61" t="s">
        <v>149</v>
      </c>
      <c r="D394" s="62" t="s">
        <v>289</v>
      </c>
      <c r="E394" s="71" t="s">
        <v>177</v>
      </c>
      <c r="F394" s="72">
        <v>2711</v>
      </c>
      <c r="G394" s="73" t="s">
        <v>198</v>
      </c>
      <c r="H394" s="74">
        <f>[1]!'@CTA[8-2-1-2-7-2711,F,5,#6]'</f>
        <v>12000</v>
      </c>
      <c r="I394" s="74">
        <f>[1]!'@CTA[8-2-3-2-7-2711,F,5,#6]'</f>
        <v>0</v>
      </c>
      <c r="J394" s="75">
        <f>[1]!'@CTA[8-2-1-2-7-2711,F,5,#6]'+[1]!'@CTA[8-2-3-2-7-2711,F,5,#6]'</f>
        <v>12000</v>
      </c>
      <c r="K394" s="76">
        <f>[1]!'@CTA[8-2-4-2-7-2711,J,5,#6]'</f>
        <v>6692.04</v>
      </c>
      <c r="L394" s="76">
        <f>[1]!'@CTA[8-2-5-2-7-2711,J,5,#6]'</f>
        <v>6692.04</v>
      </c>
      <c r="M394" s="76">
        <f>[1]!'@CTA[8-2-6-2-7-2711,J,5,#6]'</f>
        <v>6692.04</v>
      </c>
      <c r="N394" s="74">
        <f>[1]!'@CTA[8-2-7-2-7-2711,F,5,#6]'</f>
        <v>6692.04</v>
      </c>
      <c r="O394" s="66">
        <f t="shared" si="27"/>
        <v>5307.96</v>
      </c>
    </row>
    <row r="395" spans="1:15" ht="108" x14ac:dyDescent="0.2">
      <c r="A395" s="67" t="s">
        <v>286</v>
      </c>
      <c r="B395" s="61" t="s">
        <v>152</v>
      </c>
      <c r="C395" s="61" t="s">
        <v>149</v>
      </c>
      <c r="D395" s="62" t="s">
        <v>289</v>
      </c>
      <c r="E395" s="71" t="s">
        <v>177</v>
      </c>
      <c r="F395" s="72">
        <v>2712</v>
      </c>
      <c r="G395" s="73" t="s">
        <v>199</v>
      </c>
      <c r="H395" s="74">
        <f>[1]!'@CTA[8-2-1-2-7-2712,F,5,#6]'</f>
        <v>31816</v>
      </c>
      <c r="I395" s="74">
        <f>[1]!'@CTA[8-2-3-2-7-2712,F,5,#6]'</f>
        <v>0</v>
      </c>
      <c r="J395" s="75">
        <f>[1]!'@CTA[8-2-1-2-7-2712,F,5,#6]'+[1]!'@CTA[8-2-3-2-7-2712,F,5,#6]'</f>
        <v>31816</v>
      </c>
      <c r="K395" s="76">
        <f>[1]!'@CTA[8-2-4-2-7-2712,J,5,#6]'</f>
        <v>9317.7799999999988</v>
      </c>
      <c r="L395" s="76">
        <f>[1]!'@CTA[8-2-5-2-7-2712,J,5,#6]'</f>
        <v>9317.7799999999988</v>
      </c>
      <c r="M395" s="76">
        <f>[1]!'@CTA[8-2-6-2-7-2712,J,5,#6]'</f>
        <v>9317.7799999999988</v>
      </c>
      <c r="N395" s="74">
        <f>[1]!'@CTA[8-2-7-2-7-2712,F,5,#6]'</f>
        <v>9317.7799999999988</v>
      </c>
      <c r="O395" s="66">
        <f t="shared" si="27"/>
        <v>22498.22</v>
      </c>
    </row>
    <row r="396" spans="1:15" ht="108" x14ac:dyDescent="0.2">
      <c r="A396" s="67" t="s">
        <v>286</v>
      </c>
      <c r="B396" s="61" t="s">
        <v>152</v>
      </c>
      <c r="C396" s="61" t="s">
        <v>149</v>
      </c>
      <c r="D396" s="62" t="s">
        <v>289</v>
      </c>
      <c r="E396" s="71" t="s">
        <v>177</v>
      </c>
      <c r="F396" s="72">
        <v>2721</v>
      </c>
      <c r="G396" s="73" t="s">
        <v>200</v>
      </c>
      <c r="H396" s="74">
        <f>[1]!'@CTA[8-2-1-2-7-2721,F,5,#6]'</f>
        <v>0</v>
      </c>
      <c r="I396" s="74">
        <f>[1]!'@CTA[8-2-3-2-7-2721,F,5,#6]'</f>
        <v>-5.6843418860808015E-14</v>
      </c>
      <c r="J396" s="75">
        <f>[1]!'@CTA[8-2-1-2-7-2721,F,5,#6]'+[1]!'@CTA[8-2-3-2-7-2721,F,5,#6]'</f>
        <v>-5.6843418860808015E-14</v>
      </c>
      <c r="K396" s="76">
        <f>[1]!'@CTA[8-2-4-2-7-2721,J,5,#6]'</f>
        <v>0</v>
      </c>
      <c r="L396" s="76">
        <f>[1]!'@CTA[8-2-5-2-7-2721,J,5,#6]'</f>
        <v>0</v>
      </c>
      <c r="M396" s="76">
        <f>[1]!'@CTA[8-2-6-2-7-2721,J,5,#6]'</f>
        <v>0</v>
      </c>
      <c r="N396" s="74">
        <f>[1]!'@CTA[8-2-7-2-7-2721,F,5,#6]'</f>
        <v>0</v>
      </c>
      <c r="O396" s="66">
        <f t="shared" si="27"/>
        <v>-5.6843418860808015E-14</v>
      </c>
    </row>
    <row r="397" spans="1:15" ht="108" x14ac:dyDescent="0.2">
      <c r="A397" s="67" t="s">
        <v>286</v>
      </c>
      <c r="B397" s="61" t="s">
        <v>152</v>
      </c>
      <c r="C397" s="61" t="s">
        <v>149</v>
      </c>
      <c r="D397" s="62" t="s">
        <v>289</v>
      </c>
      <c r="E397" s="71" t="s">
        <v>177</v>
      </c>
      <c r="F397" s="72">
        <v>2731</v>
      </c>
      <c r="G397" s="73" t="s">
        <v>201</v>
      </c>
      <c r="H397" s="74">
        <f>[1]!'@CTA[8-2-1-2-7-2731,F,5,#6]'</f>
        <v>0</v>
      </c>
      <c r="I397" s="74">
        <f>[1]!'@CTA[8-2-3-2-7-2731,F,5,#6]'</f>
        <v>0</v>
      </c>
      <c r="J397" s="75">
        <f>[1]!'@CTA[8-2-1-2-7-2731,F,5,#6]'+[1]!'@CTA[8-2-3-2-7-2731,F,5,#6]'</f>
        <v>0</v>
      </c>
      <c r="K397" s="76">
        <f>[1]!'@CTA[8-2-4-2-7-2731,J,5,#6]'</f>
        <v>0</v>
      </c>
      <c r="L397" s="76">
        <f>[1]!'@CTA[8-2-5-2-7-2731,J,5,#6]'</f>
        <v>0</v>
      </c>
      <c r="M397" s="76">
        <f>[1]!'@CTA[8-2-6-2-7-2731,J,5,#6]'</f>
        <v>0</v>
      </c>
      <c r="N397" s="74">
        <f>[1]!'@CTA[8-2-7-2-7-2731,F,5,#6]'</f>
        <v>0</v>
      </c>
      <c r="O397" s="66">
        <f t="shared" si="27"/>
        <v>0</v>
      </c>
    </row>
    <row r="398" spans="1:15" ht="108" x14ac:dyDescent="0.2">
      <c r="A398" s="67" t="s">
        <v>286</v>
      </c>
      <c r="B398" s="61" t="s">
        <v>152</v>
      </c>
      <c r="C398" s="61" t="s">
        <v>149</v>
      </c>
      <c r="D398" s="62" t="s">
        <v>289</v>
      </c>
      <c r="E398" s="71" t="s">
        <v>177</v>
      </c>
      <c r="F398" s="72">
        <v>2911</v>
      </c>
      <c r="G398" s="73" t="s">
        <v>202</v>
      </c>
      <c r="H398" s="74">
        <f>[1]!'@CTA[8-2-1-2-9-2911,F,5,#6]'</f>
        <v>13618</v>
      </c>
      <c r="I398" s="74">
        <f>[1]!'@CTA[8-2-3-2-9-2911,F,5,#6]'</f>
        <v>0</v>
      </c>
      <c r="J398" s="75">
        <f>[1]!'@CTA[8-2-1-2-9-2911,F,5,#6]'+[1]!'@CTA[8-2-3-2-9-2911,F,5,#6]'</f>
        <v>13618</v>
      </c>
      <c r="K398" s="76">
        <f>[1]!'@CTA[8-2-4-2-9-2911,J,5,#6]'</f>
        <v>1031</v>
      </c>
      <c r="L398" s="76">
        <f>[1]!'@CTA[8-2-5-2-9-2911,J,5,#6]'</f>
        <v>1031</v>
      </c>
      <c r="M398" s="76">
        <f>[1]!'@CTA[8-2-6-2-9-2911,J,5,#6]'</f>
        <v>1031</v>
      </c>
      <c r="N398" s="74">
        <f>[1]!'@CTA[8-2-7-2-9-2911,F,5,#6]'</f>
        <v>635.99999999999977</v>
      </c>
      <c r="O398" s="66">
        <f t="shared" si="27"/>
        <v>12587</v>
      </c>
    </row>
    <row r="399" spans="1:15" ht="108" x14ac:dyDescent="0.2">
      <c r="A399" s="67" t="s">
        <v>286</v>
      </c>
      <c r="B399" s="61"/>
      <c r="C399" s="61" t="s">
        <v>149</v>
      </c>
      <c r="D399" s="62" t="s">
        <v>289</v>
      </c>
      <c r="E399" s="61"/>
      <c r="F399" s="63">
        <v>3000</v>
      </c>
      <c r="G399" s="77" t="s">
        <v>203</v>
      </c>
      <c r="H399" s="69">
        <f t="shared" ref="H399:N399" si="28">SUBTOTAL(9,H400:H449)</f>
        <v>120105</v>
      </c>
      <c r="I399" s="69">
        <f t="shared" si="28"/>
        <v>3720.2999999999988</v>
      </c>
      <c r="J399" s="69">
        <f t="shared" si="28"/>
        <v>123825.29999999999</v>
      </c>
      <c r="K399" s="70">
        <f t="shared" si="28"/>
        <v>15554.79</v>
      </c>
      <c r="L399" s="70">
        <f t="shared" si="28"/>
        <v>15554.79</v>
      </c>
      <c r="M399" s="70">
        <f t="shared" si="28"/>
        <v>15554.79</v>
      </c>
      <c r="N399" s="69">
        <f t="shared" si="28"/>
        <v>13272.129999999996</v>
      </c>
      <c r="O399" s="66">
        <f t="shared" si="27"/>
        <v>108270.50999999998</v>
      </c>
    </row>
    <row r="400" spans="1:15" ht="108" x14ac:dyDescent="0.2">
      <c r="A400" s="67" t="s">
        <v>286</v>
      </c>
      <c r="B400" s="61" t="s">
        <v>152</v>
      </c>
      <c r="C400" s="61" t="s">
        <v>149</v>
      </c>
      <c r="D400" s="62" t="s">
        <v>289</v>
      </c>
      <c r="E400" s="71" t="s">
        <v>177</v>
      </c>
      <c r="F400" s="72">
        <v>3111</v>
      </c>
      <c r="G400" s="73" t="s">
        <v>204</v>
      </c>
      <c r="H400" s="74">
        <f>[1]!'@CTA[8-2-1-3-1-3111,F,5,#6]'</f>
        <v>5605</v>
      </c>
      <c r="I400" s="74">
        <f>[1]!'@CTA[8-2-3-3-1-3111,F,5,#6]'</f>
        <v>0</v>
      </c>
      <c r="J400" s="75">
        <f>[1]!'@CTA[8-2-1-3-1-3111,F,5,#6]'+[1]!'@CTA[8-2-3-3-1-3111,F,5,#6]'</f>
        <v>5605</v>
      </c>
      <c r="K400" s="76">
        <f>[1]!'@CTA[8-2-4-3-1-3111,J,5,#6]'</f>
        <v>2187.19</v>
      </c>
      <c r="L400" s="76">
        <f>[1]!'@CTA[8-2-5-3-1-3111,J,5,#6]'</f>
        <v>2187.19</v>
      </c>
      <c r="M400" s="76">
        <f>[1]!'@CTA[8-2-6-3-1-3111,J,5,#6]'</f>
        <v>2187.19</v>
      </c>
      <c r="N400" s="74">
        <f>[1]!'@CTA[8-2-7-3-1-3111,F,5,#6]'</f>
        <v>2187.190000000001</v>
      </c>
      <c r="O400" s="66">
        <f t="shared" si="27"/>
        <v>3417.81</v>
      </c>
    </row>
    <row r="401" spans="1:15" ht="108" x14ac:dyDescent="0.2">
      <c r="A401" s="67" t="s">
        <v>286</v>
      </c>
      <c r="B401" s="61" t="s">
        <v>152</v>
      </c>
      <c r="C401" s="61" t="s">
        <v>149</v>
      </c>
      <c r="D401" s="62" t="s">
        <v>289</v>
      </c>
      <c r="E401" s="71" t="s">
        <v>177</v>
      </c>
      <c r="F401" s="72">
        <v>3131</v>
      </c>
      <c r="G401" s="73" t="s">
        <v>205</v>
      </c>
      <c r="H401" s="74">
        <f>[1]!'@CTA[8-2-1-3-1-3131,F,5,#6]'</f>
        <v>960</v>
      </c>
      <c r="I401" s="74">
        <f>[1]!'@CTA[8-2-3-3-1-3131,F,5,#6]'</f>
        <v>0</v>
      </c>
      <c r="J401" s="75">
        <f>[1]!'@CTA[8-2-1-3-1-3131,F,5,#6]'+[1]!'@CTA[8-2-3-3-1-3131,F,5,#6]'</f>
        <v>960</v>
      </c>
      <c r="K401" s="76">
        <f>[1]!'@CTA[8-2-4-3-1-3131,J,5,#6]'</f>
        <v>182.4</v>
      </c>
      <c r="L401" s="76">
        <f>[1]!'@CTA[8-2-5-3-1-3131,J,5,#6]'</f>
        <v>182.4</v>
      </c>
      <c r="M401" s="76">
        <f>[1]!'@CTA[8-2-6-3-1-3131,J,5,#6]'</f>
        <v>182.4</v>
      </c>
      <c r="N401" s="74">
        <f>[1]!'@CTA[8-2-7-3-1-3131,F,5,#6]'</f>
        <v>182.40000000000012</v>
      </c>
      <c r="O401" s="66">
        <f t="shared" si="27"/>
        <v>777.6</v>
      </c>
    </row>
    <row r="402" spans="1:15" ht="108" x14ac:dyDescent="0.2">
      <c r="A402" s="67" t="s">
        <v>286</v>
      </c>
      <c r="B402" s="61" t="s">
        <v>152</v>
      </c>
      <c r="C402" s="61" t="s">
        <v>149</v>
      </c>
      <c r="D402" s="62" t="s">
        <v>289</v>
      </c>
      <c r="E402" s="71" t="s">
        <v>177</v>
      </c>
      <c r="F402" s="72">
        <v>3141</v>
      </c>
      <c r="G402" s="73" t="s">
        <v>206</v>
      </c>
      <c r="H402" s="74">
        <f>[1]!'@CTA[8-2-1-3-1-3141,F,5,#6]'</f>
        <v>2940</v>
      </c>
      <c r="I402" s="74">
        <f>[1]!'@CTA[8-2-3-3-1-3141,F,5,#6]'</f>
        <v>466.95</v>
      </c>
      <c r="J402" s="75">
        <f>[1]!'@CTA[8-2-1-3-1-3141,F,5,#6]'+[1]!'@CTA[8-2-3-3-1-3141,F,5,#6]'</f>
        <v>3406.95</v>
      </c>
      <c r="K402" s="76">
        <f>[1]!'@CTA[8-2-4-3-1-3141,J,5,#6]'</f>
        <v>1091.02</v>
      </c>
      <c r="L402" s="76">
        <f>[1]!'@CTA[8-2-5-3-1-3141,J,5,#6]'</f>
        <v>1091.02</v>
      </c>
      <c r="M402" s="76">
        <f>[1]!'@CTA[8-2-6-3-1-3141,J,5,#6]'</f>
        <v>1091.02</v>
      </c>
      <c r="N402" s="74">
        <f>[1]!'@CTA[8-2-7-3-1-3141,F,5,#6]'</f>
        <v>950.68</v>
      </c>
      <c r="O402" s="66">
        <f t="shared" si="27"/>
        <v>2315.9299999999998</v>
      </c>
    </row>
    <row r="403" spans="1:15" ht="108" x14ac:dyDescent="0.2">
      <c r="A403" s="67" t="s">
        <v>286</v>
      </c>
      <c r="B403" s="61" t="s">
        <v>152</v>
      </c>
      <c r="C403" s="61" t="s">
        <v>149</v>
      </c>
      <c r="D403" s="62" t="s">
        <v>289</v>
      </c>
      <c r="E403" s="71" t="s">
        <v>177</v>
      </c>
      <c r="F403" s="72">
        <v>3161</v>
      </c>
      <c r="G403" s="73" t="s">
        <v>207</v>
      </c>
      <c r="H403" s="74">
        <f>[1]!'@CTA[8-2-1-3-1-3161,F,5,#6]'</f>
        <v>1050</v>
      </c>
      <c r="I403" s="74">
        <f>[1]!'@CTA[8-2-3-3-1-3161,F,5,#6]'</f>
        <v>0</v>
      </c>
      <c r="J403" s="75">
        <f>[1]!'@CTA[8-2-1-3-1-3161,F,5,#6]'+[1]!'@CTA[8-2-3-3-1-3161,F,5,#6]'</f>
        <v>1050</v>
      </c>
      <c r="K403" s="76">
        <f>[1]!'@CTA[8-2-4-3-1-3161,J,5,#6]'</f>
        <v>0</v>
      </c>
      <c r="L403" s="76">
        <f>[1]!'@CTA[8-2-5-3-1-3161,J,5,#6]'</f>
        <v>0</v>
      </c>
      <c r="M403" s="76">
        <f>[1]!'@CTA[8-2-6-3-1-3161,J,5,#6]'</f>
        <v>0</v>
      </c>
      <c r="N403" s="74">
        <f>[1]!'@CTA[8-2-7-3-1-3161,F,5,#6]'</f>
        <v>0</v>
      </c>
      <c r="O403" s="66">
        <f t="shared" si="27"/>
        <v>1050</v>
      </c>
    </row>
    <row r="404" spans="1:15" ht="108" x14ac:dyDescent="0.2">
      <c r="A404" s="67" t="s">
        <v>286</v>
      </c>
      <c r="B404" s="61" t="s">
        <v>152</v>
      </c>
      <c r="C404" s="61" t="s">
        <v>149</v>
      </c>
      <c r="D404" s="62" t="s">
        <v>289</v>
      </c>
      <c r="E404" s="71" t="s">
        <v>177</v>
      </c>
      <c r="F404" s="72">
        <v>3171</v>
      </c>
      <c r="G404" s="73" t="s">
        <v>208</v>
      </c>
      <c r="H404" s="74">
        <f>[1]!'@CTA[8-2-1-3-1-3171,F,5,#6]'</f>
        <v>655</v>
      </c>
      <c r="I404" s="74">
        <f>[1]!'@CTA[8-2-3-3-1-3171,F,5,#6]'</f>
        <v>0</v>
      </c>
      <c r="J404" s="75">
        <f>[1]!'@CTA[8-2-1-3-1-3171,F,5,#6]'+[1]!'@CTA[8-2-3-3-1-3171,F,5,#6]'</f>
        <v>655</v>
      </c>
      <c r="K404" s="76">
        <f>[1]!'@CTA[8-2-4-3-1-3171,J,5,#6]'</f>
        <v>0</v>
      </c>
      <c r="L404" s="76">
        <f>[1]!'@CTA[8-2-5-3-1-3171,J,5,#6]'</f>
        <v>0</v>
      </c>
      <c r="M404" s="76">
        <f>[1]!'@CTA[8-2-6-3-1-3171,J,5,#6]'</f>
        <v>0</v>
      </c>
      <c r="N404" s="74">
        <f>[1]!'@CTA[8-2-7-3-1-3171,F,5,#6]'</f>
        <v>0</v>
      </c>
      <c r="O404" s="66">
        <f t="shared" si="27"/>
        <v>655</v>
      </c>
    </row>
    <row r="405" spans="1:15" ht="108" x14ac:dyDescent="0.2">
      <c r="A405" s="67" t="s">
        <v>286</v>
      </c>
      <c r="B405" s="61" t="s">
        <v>152</v>
      </c>
      <c r="C405" s="61" t="s">
        <v>149</v>
      </c>
      <c r="D405" s="62" t="s">
        <v>289</v>
      </c>
      <c r="E405" s="71" t="s">
        <v>177</v>
      </c>
      <c r="F405" s="72">
        <v>3181</v>
      </c>
      <c r="G405" s="73" t="s">
        <v>209</v>
      </c>
      <c r="H405" s="74">
        <f>[1]!'@CTA[8-2-1-3-1-3181,F,5,#6]'</f>
        <v>0</v>
      </c>
      <c r="I405" s="74">
        <f>[1]!'@CTA[8-2-3-3-1-3181,F,5,#6]'</f>
        <v>0</v>
      </c>
      <c r="J405" s="75">
        <f>[1]!'@CTA[8-2-1-3-1-3181,F,5,#6]'+[1]!'@CTA[8-2-3-3-1-3181,F,5,#6]'</f>
        <v>0</v>
      </c>
      <c r="K405" s="76">
        <f>[1]!'@CTA[8-2-4-3-1-3181,J,5,#6]'</f>
        <v>0</v>
      </c>
      <c r="L405" s="76">
        <f>[1]!'@CTA[8-2-5-3-1-3181,J,5,#6]'</f>
        <v>0</v>
      </c>
      <c r="M405" s="76">
        <f>[1]!'@CTA[8-2-6-3-1-3181,J,5,#6]'</f>
        <v>0</v>
      </c>
      <c r="N405" s="74">
        <f>[1]!'@CTA[8-2-7-3-1-3181,F,5,#6]'</f>
        <v>0</v>
      </c>
      <c r="O405" s="66">
        <f t="shared" si="27"/>
        <v>0</v>
      </c>
    </row>
    <row r="406" spans="1:15" ht="108" x14ac:dyDescent="0.2">
      <c r="A406" s="67" t="s">
        <v>286</v>
      </c>
      <c r="B406" s="61" t="s">
        <v>152</v>
      </c>
      <c r="C406" s="61" t="s">
        <v>149</v>
      </c>
      <c r="D406" s="62" t="s">
        <v>289</v>
      </c>
      <c r="E406" s="71" t="s">
        <v>177</v>
      </c>
      <c r="F406" s="72">
        <v>3182</v>
      </c>
      <c r="G406" s="73" t="s">
        <v>210</v>
      </c>
      <c r="H406" s="74">
        <f>[1]!'@CTA[8-2-1-3-1-3182,F,5,#6]'</f>
        <v>0</v>
      </c>
      <c r="I406" s="74">
        <f>[1]!'@CTA[8-2-3-3-1-3182,F,5,#6]'</f>
        <v>0</v>
      </c>
      <c r="J406" s="75">
        <f>[1]!'@CTA[8-2-1-3-1-3182,F,5,#6]'+[1]!'@CTA[8-2-3-3-1-3182,F,5,#6]'</f>
        <v>0</v>
      </c>
      <c r="K406" s="76">
        <f>[1]!'@CTA[8-2-4-3-1-3182,J,5,#6]'</f>
        <v>0</v>
      </c>
      <c r="L406" s="76">
        <f>[1]!'@CTA[8-2-5-3-1-3182,J,5,#6]'</f>
        <v>0</v>
      </c>
      <c r="M406" s="76">
        <f>[1]!'@CTA[8-2-6-3-1-3182,J,5,#6]'</f>
        <v>0</v>
      </c>
      <c r="N406" s="74">
        <f>[1]!'@CTA[8-2-7-3-1-3182,F,5,#6]'</f>
        <v>0</v>
      </c>
      <c r="O406" s="66">
        <f t="shared" si="27"/>
        <v>0</v>
      </c>
    </row>
    <row r="407" spans="1:15" ht="108" x14ac:dyDescent="0.2">
      <c r="A407" s="67" t="s">
        <v>286</v>
      </c>
      <c r="B407" s="61" t="s">
        <v>152</v>
      </c>
      <c r="C407" s="61" t="s">
        <v>149</v>
      </c>
      <c r="D407" s="62" t="s">
        <v>289</v>
      </c>
      <c r="E407" s="71" t="s">
        <v>211</v>
      </c>
      <c r="F407" s="72">
        <v>3211</v>
      </c>
      <c r="G407" s="73" t="s">
        <v>212</v>
      </c>
      <c r="H407" s="74">
        <f>[1]!'@CTA[8-2-1-3-2-3211,F,5,#6]'</f>
        <v>0</v>
      </c>
      <c r="I407" s="74">
        <f>[1]!'@CTA[8-2-3-3-2-3211,F,5,#6]'</f>
        <v>0</v>
      </c>
      <c r="J407" s="75">
        <f>[1]!'@CTA[8-2-1-3-2-3211,F,5,#6]'+[1]!'@CTA[8-2-3-3-2-3211,F,5,#6]'</f>
        <v>0</v>
      </c>
      <c r="K407" s="76">
        <f>[1]!'@CTA[8-2-4-3-2-3211,J,5,#6]'</f>
        <v>0</v>
      </c>
      <c r="L407" s="76">
        <f>[1]!'@CTA[8-2-5-3-2-3211,J,5,#6]'</f>
        <v>0</v>
      </c>
      <c r="M407" s="76">
        <f>[1]!'@CTA[8-2-6-3-2-3211,J,5,#6]'</f>
        <v>0</v>
      </c>
      <c r="N407" s="74">
        <f>[1]!'@CTA[8-2-7-3-2-3211,F,5,#6]'</f>
        <v>0</v>
      </c>
      <c r="O407" s="66">
        <f t="shared" si="27"/>
        <v>0</v>
      </c>
    </row>
    <row r="408" spans="1:15" ht="108" x14ac:dyDescent="0.2">
      <c r="A408" s="67" t="s">
        <v>286</v>
      </c>
      <c r="B408" s="61" t="s">
        <v>152</v>
      </c>
      <c r="C408" s="61" t="s">
        <v>149</v>
      </c>
      <c r="D408" s="62" t="s">
        <v>289</v>
      </c>
      <c r="E408" s="71" t="s">
        <v>177</v>
      </c>
      <c r="F408" s="72">
        <v>3231</v>
      </c>
      <c r="G408" s="73" t="s">
        <v>213</v>
      </c>
      <c r="H408" s="74">
        <f>[1]!'@CTA[8-2-1-3-2-3231,F,5,#6]'</f>
        <v>400</v>
      </c>
      <c r="I408" s="74">
        <f>[1]!'@CTA[8-2-3-3-2-3231,F,5,#6]'</f>
        <v>0</v>
      </c>
      <c r="J408" s="75">
        <f>[1]!'@CTA[8-2-1-3-2-3231,F,5,#6]'+[1]!'@CTA[8-2-3-3-2-3231,F,5,#6]'</f>
        <v>400</v>
      </c>
      <c r="K408" s="76">
        <f>[1]!'@CTA[8-2-4-3-2-3231,J,5,#6]'</f>
        <v>0</v>
      </c>
      <c r="L408" s="76">
        <f>[1]!'@CTA[8-2-5-3-2-3231,J,5,#6]'</f>
        <v>0</v>
      </c>
      <c r="M408" s="76">
        <f>[1]!'@CTA[8-2-6-3-2-3231,J,5,#6]'</f>
        <v>0</v>
      </c>
      <c r="N408" s="74">
        <f>[1]!'@CTA[8-2-7-3-2-3231,F,5,#6]'</f>
        <v>0</v>
      </c>
      <c r="O408" s="66">
        <f t="shared" si="27"/>
        <v>400</v>
      </c>
    </row>
    <row r="409" spans="1:15" ht="108" x14ac:dyDescent="0.2">
      <c r="A409" s="67" t="s">
        <v>286</v>
      </c>
      <c r="B409" s="61" t="s">
        <v>152</v>
      </c>
      <c r="C409" s="61" t="s">
        <v>149</v>
      </c>
      <c r="D409" s="62" t="s">
        <v>289</v>
      </c>
      <c r="E409" s="71" t="s">
        <v>177</v>
      </c>
      <c r="F409" s="72">
        <v>3261</v>
      </c>
      <c r="G409" s="73" t="s">
        <v>214</v>
      </c>
      <c r="H409" s="74">
        <f>[1]!'@CTA[8-2-1-3-2-3261,F,5,#6]'</f>
        <v>0</v>
      </c>
      <c r="I409" s="74">
        <f>[1]!'@CTA[8-2-3-3-2-3261,F,5,#6]'</f>
        <v>0</v>
      </c>
      <c r="J409" s="75">
        <f>[1]!'@CTA[8-2-1-3-2-3261,F,5,#6]'+[1]!'@CTA[8-2-3-3-2-3261,F,5,#6]'</f>
        <v>0</v>
      </c>
      <c r="K409" s="76">
        <f>[1]!'@CTA[8-2-4-3-2-3261,J,5,#6]'</f>
        <v>0</v>
      </c>
      <c r="L409" s="76">
        <f>[1]!'@CTA[8-2-5-3-2-3261,J,5,#6]'</f>
        <v>0</v>
      </c>
      <c r="M409" s="76">
        <f>[1]!'@CTA[8-2-6-3-2-3261,J,5,#6]'</f>
        <v>0</v>
      </c>
      <c r="N409" s="74">
        <f>[1]!'@CTA[8-2-7-3-2-3261,F,5,#6]'</f>
        <v>0</v>
      </c>
      <c r="O409" s="66">
        <f t="shared" si="27"/>
        <v>0</v>
      </c>
    </row>
    <row r="410" spans="1:15" ht="108" x14ac:dyDescent="0.2">
      <c r="A410" s="67" t="s">
        <v>286</v>
      </c>
      <c r="B410" s="61" t="s">
        <v>152</v>
      </c>
      <c r="C410" s="61" t="s">
        <v>149</v>
      </c>
      <c r="D410" s="62" t="s">
        <v>289</v>
      </c>
      <c r="E410" s="71" t="s">
        <v>177</v>
      </c>
      <c r="F410" s="72">
        <v>3291</v>
      </c>
      <c r="G410" s="73" t="s">
        <v>215</v>
      </c>
      <c r="H410" s="74">
        <f>[1]!'@CTA[8-2-1-3-2-3291,F,5,#6]'</f>
        <v>0</v>
      </c>
      <c r="I410" s="74">
        <f>[1]!'@CTA[8-2-3-3-2-3291,F,5,#6]'</f>
        <v>0</v>
      </c>
      <c r="J410" s="75">
        <f>[1]!'@CTA[8-2-1-3-2-3291,F,5,#6]'+[1]!'@CTA[8-2-3-3-2-3291,F,5,#6]'</f>
        <v>0</v>
      </c>
      <c r="K410" s="76">
        <f>[1]!'@CTA[8-2-4-3-2-3291,J,5,#6]'</f>
        <v>0</v>
      </c>
      <c r="L410" s="76">
        <f>[1]!'@CTA[8-2-5-3-2-3291,J,5,#6]'</f>
        <v>0</v>
      </c>
      <c r="M410" s="76">
        <f>[1]!'@CTA[8-2-6-3-2-3291,J,5,#6]'</f>
        <v>0</v>
      </c>
      <c r="N410" s="74">
        <f>[1]!'@CTA[8-2-7-3-2-3291,F,5,#6]'</f>
        <v>0</v>
      </c>
      <c r="O410" s="66">
        <f t="shared" si="27"/>
        <v>0</v>
      </c>
    </row>
    <row r="411" spans="1:15" ht="108" x14ac:dyDescent="0.2">
      <c r="A411" s="67" t="s">
        <v>286</v>
      </c>
      <c r="B411" s="61" t="s">
        <v>152</v>
      </c>
      <c r="C411" s="61" t="s">
        <v>149</v>
      </c>
      <c r="D411" s="62" t="s">
        <v>289</v>
      </c>
      <c r="E411" s="71" t="s">
        <v>177</v>
      </c>
      <c r="F411" s="72">
        <v>3311</v>
      </c>
      <c r="G411" s="73" t="s">
        <v>216</v>
      </c>
      <c r="H411" s="74">
        <f>[1]!'@CTA[8-2-1-3-3-3311,F,5,#6]'</f>
        <v>0</v>
      </c>
      <c r="I411" s="74">
        <f>[1]!'@CTA[8-2-3-3-3-3311,F,5,#6]'</f>
        <v>0</v>
      </c>
      <c r="J411" s="75">
        <f>[1]!'@CTA[8-2-1-3-3-3311,F,5,#6]'+[1]!'@CTA[8-2-3-3-3-3311,F,5,#6]'</f>
        <v>0</v>
      </c>
      <c r="K411" s="76">
        <f>[1]!'@CTA[8-2-4-3-3-3311,J,5,#6]'</f>
        <v>0</v>
      </c>
      <c r="L411" s="76">
        <f>[1]!'@CTA[8-2-5-3-3-3311,J,5,#6]'</f>
        <v>0</v>
      </c>
      <c r="M411" s="76">
        <f>[1]!'@CTA[8-2-6-3-3-3311,J,5,#6]'</f>
        <v>0</v>
      </c>
      <c r="N411" s="74">
        <f>[1]!'@CTA[8-2-7-3-3-3311,F,5,#6]'</f>
        <v>0</v>
      </c>
      <c r="O411" s="66">
        <f t="shared" si="27"/>
        <v>0</v>
      </c>
    </row>
    <row r="412" spans="1:15" ht="108" x14ac:dyDescent="0.2">
      <c r="A412" s="67" t="s">
        <v>286</v>
      </c>
      <c r="B412" s="61" t="s">
        <v>152</v>
      </c>
      <c r="C412" s="61" t="s">
        <v>149</v>
      </c>
      <c r="D412" s="62" t="s">
        <v>289</v>
      </c>
      <c r="E412" s="71" t="s">
        <v>177</v>
      </c>
      <c r="F412" s="72">
        <v>3331</v>
      </c>
      <c r="G412" s="73" t="s">
        <v>217</v>
      </c>
      <c r="H412" s="74">
        <f>[1]!'@CTA[8-2-1-3-3-3331,F,5,#6]'</f>
        <v>0</v>
      </c>
      <c r="I412" s="74">
        <f>[1]!'@CTA[8-2-3-3-3-3331,F,5,#6]'</f>
        <v>0</v>
      </c>
      <c r="J412" s="75">
        <f>[1]!'@CTA[8-2-1-3-3-3331,F,5,#6]'+[1]!'@CTA[8-2-3-3-3-3331,F,5,#6]'</f>
        <v>0</v>
      </c>
      <c r="K412" s="76">
        <f>[1]!'@CTA[8-2-4-3-3-3331,J,5,#6]'</f>
        <v>0</v>
      </c>
      <c r="L412" s="76">
        <f>[1]!'@CTA[8-2-5-3-3-3331,J,5,#6]'</f>
        <v>0</v>
      </c>
      <c r="M412" s="76">
        <f>[1]!'@CTA[8-2-6-3-3-3331,J,5,#6]'</f>
        <v>0</v>
      </c>
      <c r="N412" s="74">
        <f>[1]!'@CTA[8-2-7-3-3-3331,F,5,#6]'</f>
        <v>0</v>
      </c>
      <c r="O412" s="66">
        <f t="shared" si="27"/>
        <v>0</v>
      </c>
    </row>
    <row r="413" spans="1:15" ht="108" x14ac:dyDescent="0.2">
      <c r="A413" s="67" t="s">
        <v>286</v>
      </c>
      <c r="B413" s="61" t="s">
        <v>152</v>
      </c>
      <c r="C413" s="61" t="s">
        <v>149</v>
      </c>
      <c r="D413" s="62" t="s">
        <v>289</v>
      </c>
      <c r="E413" s="71" t="s">
        <v>177</v>
      </c>
      <c r="F413" s="72">
        <v>3332</v>
      </c>
      <c r="G413" s="73" t="s">
        <v>218</v>
      </c>
      <c r="H413" s="74">
        <f>[1]!'@CTA[8-2-1-3-3-3332,F,5,#6]'</f>
        <v>58000</v>
      </c>
      <c r="I413" s="74">
        <f>[1]!'@CTA[8-2-3-3-3-3332,F,5,#6]'</f>
        <v>0</v>
      </c>
      <c r="J413" s="75">
        <f>[1]!'@CTA[8-2-1-3-3-3332,F,5,#6]'+[1]!'@CTA[8-2-3-3-3-3332,F,5,#6]'</f>
        <v>58000</v>
      </c>
      <c r="K413" s="76">
        <f>[1]!'@CTA[8-2-4-3-3-3332,J,5,#6]'</f>
        <v>0</v>
      </c>
      <c r="L413" s="76">
        <f>[1]!'@CTA[8-2-5-3-3-3332,J,5,#6]'</f>
        <v>0</v>
      </c>
      <c r="M413" s="76">
        <f>[1]!'@CTA[8-2-6-3-3-3332,J,5,#6]'</f>
        <v>0</v>
      </c>
      <c r="N413" s="74">
        <f>[1]!'@CTA[8-2-7-3-3-3332,F,5,#6]'</f>
        <v>0</v>
      </c>
      <c r="O413" s="66">
        <f t="shared" si="27"/>
        <v>58000</v>
      </c>
    </row>
    <row r="414" spans="1:15" ht="108" x14ac:dyDescent="0.2">
      <c r="A414" s="67" t="s">
        <v>286</v>
      </c>
      <c r="B414" s="61" t="s">
        <v>152</v>
      </c>
      <c r="C414" s="61" t="s">
        <v>149</v>
      </c>
      <c r="D414" s="62" t="s">
        <v>289</v>
      </c>
      <c r="E414" s="71" t="s">
        <v>177</v>
      </c>
      <c r="F414" s="72">
        <v>3341</v>
      </c>
      <c r="G414" s="73" t="s">
        <v>219</v>
      </c>
      <c r="H414" s="74">
        <f>[1]!'@CTA[8-2-1-3-3-3341,F,5,#6]'</f>
        <v>0</v>
      </c>
      <c r="I414" s="74">
        <f>[1]!'@CTA[8-2-3-3-3-3341,F,5,#6]'</f>
        <v>0</v>
      </c>
      <c r="J414" s="75">
        <f>[1]!'@CTA[8-2-1-3-3-3341,F,5,#6]'+[1]!'@CTA[8-2-3-3-3-3341,F,5,#6]'</f>
        <v>0</v>
      </c>
      <c r="K414" s="76">
        <f>[1]!'@CTA[8-2-4-3-3-3341,J,5,#6]'</f>
        <v>0</v>
      </c>
      <c r="L414" s="76">
        <f>[1]!'@CTA[8-2-5-3-3-3341,J,5,#6]'</f>
        <v>0</v>
      </c>
      <c r="M414" s="76">
        <f>[1]!'@CTA[8-2-6-3-3-3341,J,5,#6]'</f>
        <v>0</v>
      </c>
      <c r="N414" s="74">
        <f>[1]!'@CTA[8-2-7-3-3-3341,F,5,#6]'</f>
        <v>0</v>
      </c>
      <c r="O414" s="66">
        <f t="shared" si="27"/>
        <v>0</v>
      </c>
    </row>
    <row r="415" spans="1:15" ht="108" x14ac:dyDescent="0.2">
      <c r="A415" s="67" t="s">
        <v>286</v>
      </c>
      <c r="B415" s="61" t="s">
        <v>152</v>
      </c>
      <c r="C415" s="61" t="s">
        <v>149</v>
      </c>
      <c r="D415" s="62" t="s">
        <v>289</v>
      </c>
      <c r="E415" s="71" t="s">
        <v>177</v>
      </c>
      <c r="F415" s="72">
        <v>3381</v>
      </c>
      <c r="G415" s="73" t="s">
        <v>220</v>
      </c>
      <c r="H415" s="74">
        <f>[1]!'@CTA[8-2-1-3-3-3381,F,5,#6]'</f>
        <v>0</v>
      </c>
      <c r="I415" s="74">
        <f>[1]!'@CTA[8-2-3-3-3-3381,F,5,#6]'</f>
        <v>0</v>
      </c>
      <c r="J415" s="75">
        <f>[1]!'@CTA[8-2-1-3-3-3381,F,5,#6]'+[1]!'@CTA[8-2-3-3-3-3381,F,5,#6]'</f>
        <v>0</v>
      </c>
      <c r="K415" s="76">
        <f>[1]!'@CTA[8-2-4-3-3-3381,J,5,#6]'</f>
        <v>0</v>
      </c>
      <c r="L415" s="76">
        <f>[1]!'@CTA[8-2-5-3-3-3381,J,5,#6]'</f>
        <v>0</v>
      </c>
      <c r="M415" s="76">
        <f>[1]!'@CTA[8-2-6-3-3-3381,J,5,#6]'</f>
        <v>0</v>
      </c>
      <c r="N415" s="74">
        <f>[1]!'@CTA[8-2-7-3-3-3381,F,5,#6]'</f>
        <v>0</v>
      </c>
      <c r="O415" s="66">
        <f t="shared" si="27"/>
        <v>0</v>
      </c>
    </row>
    <row r="416" spans="1:15" ht="108" x14ac:dyDescent="0.2">
      <c r="A416" s="67" t="s">
        <v>286</v>
      </c>
      <c r="B416" s="61" t="s">
        <v>152</v>
      </c>
      <c r="C416" s="61" t="s">
        <v>149</v>
      </c>
      <c r="D416" s="62" t="s">
        <v>289</v>
      </c>
      <c r="E416" s="71" t="s">
        <v>177</v>
      </c>
      <c r="F416" s="72">
        <v>3391</v>
      </c>
      <c r="G416" s="73" t="s">
        <v>221</v>
      </c>
      <c r="H416" s="74">
        <f>[1]!'@CTA[8-2-1-3-3-3391,F,5,#6]'</f>
        <v>0</v>
      </c>
      <c r="I416" s="74">
        <f>[1]!'@CTA[8-2-3-3-3-3391,F,5,#6]'</f>
        <v>0</v>
      </c>
      <c r="J416" s="75">
        <f>[1]!'@CTA[8-2-1-3-3-3391,F,5,#6]'+[1]!'@CTA[8-2-3-3-3-3391,F,5,#6]'</f>
        <v>0</v>
      </c>
      <c r="K416" s="76">
        <f>[1]!'@CTA[8-2-4-3-3-3391,J,5,#6]'</f>
        <v>0</v>
      </c>
      <c r="L416" s="76">
        <f>[1]!'@CTA[8-2-5-3-3-3391,J,5,#6]'</f>
        <v>0</v>
      </c>
      <c r="M416" s="76">
        <f>[1]!'@CTA[8-2-6-3-3-3391,J,5,#6]'</f>
        <v>0</v>
      </c>
      <c r="N416" s="74">
        <f>[1]!'@CTA[8-2-7-3-3-3391,F,5,#6]'</f>
        <v>0</v>
      </c>
      <c r="O416" s="66">
        <f t="shared" si="27"/>
        <v>0</v>
      </c>
    </row>
    <row r="417" spans="1:15" ht="108" x14ac:dyDescent="0.2">
      <c r="A417" s="67" t="s">
        <v>286</v>
      </c>
      <c r="B417" s="61" t="s">
        <v>152</v>
      </c>
      <c r="C417" s="61" t="s">
        <v>149</v>
      </c>
      <c r="D417" s="62" t="s">
        <v>289</v>
      </c>
      <c r="E417" s="71" t="s">
        <v>177</v>
      </c>
      <c r="F417" s="72">
        <v>3411</v>
      </c>
      <c r="G417" s="73" t="s">
        <v>222</v>
      </c>
      <c r="H417" s="74">
        <f>[1]!'@CTA[8-2-1-3-4-3411,F,5,#6]'</f>
        <v>0</v>
      </c>
      <c r="I417" s="74">
        <f>[1]!'@CTA[8-2-3-3-4-3411,F,5,#6]'</f>
        <v>0</v>
      </c>
      <c r="J417" s="75">
        <f>[1]!'@CTA[8-2-1-3-4-3411,F,5,#6]'+[1]!'@CTA[8-2-3-3-4-3411,F,5,#6]'</f>
        <v>0</v>
      </c>
      <c r="K417" s="76">
        <f>[1]!'@CTA[8-2-4-3-4-3411,J,5,#6]'</f>
        <v>0</v>
      </c>
      <c r="L417" s="76">
        <f>[1]!'@CTA[8-2-5-3-4-3411,J,5,#6]'</f>
        <v>0</v>
      </c>
      <c r="M417" s="76">
        <f>[1]!'@CTA[8-2-6-3-4-3411,J,5,#6]'</f>
        <v>0</v>
      </c>
      <c r="N417" s="74">
        <f>[1]!'@CTA[8-2-7-3-4-3411,F,5,#6]'</f>
        <v>0</v>
      </c>
      <c r="O417" s="66">
        <f t="shared" si="27"/>
        <v>0</v>
      </c>
    </row>
    <row r="418" spans="1:15" ht="108" x14ac:dyDescent="0.2">
      <c r="A418" s="67" t="s">
        <v>286</v>
      </c>
      <c r="B418" s="61" t="s">
        <v>152</v>
      </c>
      <c r="C418" s="61" t="s">
        <v>149</v>
      </c>
      <c r="D418" s="62" t="s">
        <v>289</v>
      </c>
      <c r="E418" s="71" t="s">
        <v>177</v>
      </c>
      <c r="F418" s="72">
        <v>3431</v>
      </c>
      <c r="G418" s="73" t="s">
        <v>223</v>
      </c>
      <c r="H418" s="74">
        <f>[1]!'@CTA[8-2-1-3-4-3431,F,5,#6]'</f>
        <v>0</v>
      </c>
      <c r="I418" s="74">
        <f>[1]!'@CTA[8-2-3-3-4-3431,F,5,#6]'</f>
        <v>0</v>
      </c>
      <c r="J418" s="75">
        <f>[1]!'@CTA[8-2-1-3-4-3431,F,5,#6]'+[1]!'@CTA[8-2-3-3-4-3431,F,5,#6]'</f>
        <v>0</v>
      </c>
      <c r="K418" s="76">
        <f>[1]!'@CTA[8-2-4-3-4-3431,J,5,#6]'</f>
        <v>0</v>
      </c>
      <c r="L418" s="76">
        <f>[1]!'@CTA[8-2-5-3-4-3431,J,5,#6]'</f>
        <v>0</v>
      </c>
      <c r="M418" s="76">
        <f>[1]!'@CTA[8-2-6-3-4-3431,J,5,#6]'</f>
        <v>0</v>
      </c>
      <c r="N418" s="74">
        <f>[1]!'@CTA[8-2-7-3-4-3431,F,5,#6]'</f>
        <v>0</v>
      </c>
      <c r="O418" s="66">
        <f t="shared" si="27"/>
        <v>0</v>
      </c>
    </row>
    <row r="419" spans="1:15" ht="108" x14ac:dyDescent="0.2">
      <c r="A419" s="67" t="s">
        <v>286</v>
      </c>
      <c r="B419" s="61" t="s">
        <v>152</v>
      </c>
      <c r="C419" s="61" t="s">
        <v>149</v>
      </c>
      <c r="D419" s="62" t="s">
        <v>289</v>
      </c>
      <c r="E419" s="71" t="s">
        <v>177</v>
      </c>
      <c r="F419" s="72">
        <v>3451</v>
      </c>
      <c r="G419" s="73" t="s">
        <v>224</v>
      </c>
      <c r="H419" s="74">
        <f>[1]!'@CTA[8-2-1-3-4-3451,F,5,#6]'</f>
        <v>8314</v>
      </c>
      <c r="I419" s="74">
        <f>[1]!'@CTA[8-2-3-3-4-3451,F,5,#6]'</f>
        <v>0</v>
      </c>
      <c r="J419" s="75">
        <f>[1]!'@CTA[8-2-1-3-4-3451,F,5,#6]'+[1]!'@CTA[8-2-3-3-4-3451,F,5,#6]'</f>
        <v>8314</v>
      </c>
      <c r="K419" s="76">
        <f>[1]!'@CTA[8-2-4-3-4-3451,J,5,#6]'</f>
        <v>4044.99</v>
      </c>
      <c r="L419" s="76">
        <f>[1]!'@CTA[8-2-5-3-4-3451,J,5,#6]'</f>
        <v>4044.99</v>
      </c>
      <c r="M419" s="76">
        <f>[1]!'@CTA[8-2-6-3-4-3451,J,5,#6]'</f>
        <v>4044.99</v>
      </c>
      <c r="N419" s="74">
        <f>[1]!'@CTA[8-2-7-3-4-3451,F,5,#6]'</f>
        <v>4044.9899999999907</v>
      </c>
      <c r="O419" s="66">
        <f t="shared" si="27"/>
        <v>4269.01</v>
      </c>
    </row>
    <row r="420" spans="1:15" ht="108" x14ac:dyDescent="0.2">
      <c r="A420" s="67" t="s">
        <v>286</v>
      </c>
      <c r="B420" s="61" t="s">
        <v>152</v>
      </c>
      <c r="C420" s="61" t="s">
        <v>149</v>
      </c>
      <c r="D420" s="62" t="s">
        <v>289</v>
      </c>
      <c r="E420" s="71" t="s">
        <v>177</v>
      </c>
      <c r="F420" s="72">
        <v>3471</v>
      </c>
      <c r="G420" s="73" t="s">
        <v>225</v>
      </c>
      <c r="H420" s="74">
        <f>[1]!'@CTA[8-2-1-3-4-3471,F,5,#6]'</f>
        <v>200</v>
      </c>
      <c r="I420" s="74">
        <f>[1]!'@CTA[8-2-3-3-4-3471,F,5,#6]'</f>
        <v>0</v>
      </c>
      <c r="J420" s="75">
        <f>[1]!'@CTA[8-2-1-3-4-3471,F,5,#6]'+[1]!'@CTA[8-2-3-3-4-3471,F,5,#6]'</f>
        <v>200</v>
      </c>
      <c r="K420" s="76">
        <f>[1]!'@CTA[8-2-4-3-4-3471,J,5,#6]'</f>
        <v>0</v>
      </c>
      <c r="L420" s="76">
        <f>[1]!'@CTA[8-2-5-3-4-3471,J,5,#6]'</f>
        <v>0</v>
      </c>
      <c r="M420" s="76">
        <f>[1]!'@CTA[8-2-6-3-4-3471,J,5,#6]'</f>
        <v>0</v>
      </c>
      <c r="N420" s="74">
        <f>[1]!'@CTA[8-2-7-3-4-3471,F,5,#6]'</f>
        <v>5.6843418860808015E-14</v>
      </c>
      <c r="O420" s="66">
        <f t="shared" si="27"/>
        <v>200</v>
      </c>
    </row>
    <row r="421" spans="1:15" ht="108" x14ac:dyDescent="0.2">
      <c r="A421" s="67" t="s">
        <v>286</v>
      </c>
      <c r="B421" s="61" t="s">
        <v>152</v>
      </c>
      <c r="C421" s="61" t="s">
        <v>149</v>
      </c>
      <c r="D421" s="62" t="s">
        <v>289</v>
      </c>
      <c r="E421" s="71" t="s">
        <v>177</v>
      </c>
      <c r="F421" s="72">
        <v>3491</v>
      </c>
      <c r="G421" s="73" t="s">
        <v>226</v>
      </c>
      <c r="H421" s="74">
        <f>[1]!'@CTA[8-2-1-3-4-3491,F,5,#6]'</f>
        <v>2208</v>
      </c>
      <c r="I421" s="74">
        <f>[1]!'@CTA[8-2-3-3-4-3491,F,5,#6]'</f>
        <v>0</v>
      </c>
      <c r="J421" s="75">
        <f>[1]!'@CTA[8-2-1-3-4-3491,F,5,#6]'+[1]!'@CTA[8-2-3-3-4-3491,F,5,#6]'</f>
        <v>2208</v>
      </c>
      <c r="K421" s="76">
        <f>[1]!'@CTA[8-2-4-3-4-3491,J,5,#6]'</f>
        <v>559.54</v>
      </c>
      <c r="L421" s="76">
        <f>[1]!'@CTA[8-2-5-3-4-3491,J,5,#6]'</f>
        <v>559.54</v>
      </c>
      <c r="M421" s="76">
        <f>[1]!'@CTA[8-2-6-3-4-3491,J,5,#6]'</f>
        <v>559.54</v>
      </c>
      <c r="N421" s="74">
        <f>[1]!'@CTA[8-2-7-3-4-3491,F,5,#6]'</f>
        <v>559.5399999999986</v>
      </c>
      <c r="O421" s="66">
        <f t="shared" si="27"/>
        <v>1648.46</v>
      </c>
    </row>
    <row r="422" spans="1:15" ht="108" x14ac:dyDescent="0.2">
      <c r="A422" s="67" t="s">
        <v>286</v>
      </c>
      <c r="B422" s="61" t="s">
        <v>152</v>
      </c>
      <c r="C422" s="61" t="s">
        <v>149</v>
      </c>
      <c r="D422" s="62" t="s">
        <v>289</v>
      </c>
      <c r="E422" s="71" t="s">
        <v>177</v>
      </c>
      <c r="F422" s="72">
        <v>3511</v>
      </c>
      <c r="G422" s="73" t="s">
        <v>227</v>
      </c>
      <c r="H422" s="74">
        <f>[1]!'@CTA[8-2-1-3-5-3511,F,5,#6]'</f>
        <v>0</v>
      </c>
      <c r="I422" s="74">
        <f>[1]!'@CTA[8-2-3-3-5-3511,F,5,#6]'</f>
        <v>0</v>
      </c>
      <c r="J422" s="75">
        <f>[1]!'@CTA[8-2-1-3-5-3511,F,5,#6]'+[1]!'@CTA[8-2-3-3-5-3511,F,5,#6]'</f>
        <v>0</v>
      </c>
      <c r="K422" s="76">
        <f>[1]!'@CTA[8-2-4-3-5-3511,J,5,#6]'</f>
        <v>0</v>
      </c>
      <c r="L422" s="76">
        <f>[1]!'@CTA[8-2-5-3-5-3511,J,5,#6]'</f>
        <v>0</v>
      </c>
      <c r="M422" s="76">
        <f>[1]!'@CTA[8-2-6-3-5-3511,J,5,#6]'</f>
        <v>0</v>
      </c>
      <c r="N422" s="74">
        <f>[1]!'@CTA[8-2-7-3-5-3511,F,5,#6]'</f>
        <v>0</v>
      </c>
      <c r="O422" s="66">
        <f t="shared" si="27"/>
        <v>0</v>
      </c>
    </row>
    <row r="423" spans="1:15" ht="108" x14ac:dyDescent="0.2">
      <c r="A423" s="67" t="s">
        <v>286</v>
      </c>
      <c r="B423" s="61" t="s">
        <v>152</v>
      </c>
      <c r="C423" s="61" t="s">
        <v>149</v>
      </c>
      <c r="D423" s="62" t="s">
        <v>289</v>
      </c>
      <c r="E423" s="71" t="s">
        <v>177</v>
      </c>
      <c r="F423" s="72">
        <v>3521</v>
      </c>
      <c r="G423" s="73" t="s">
        <v>228</v>
      </c>
      <c r="H423" s="74">
        <f>[1]!'@CTA[8-2-1-3-5-3521,F,5,#6]'</f>
        <v>0</v>
      </c>
      <c r="I423" s="74">
        <f>[1]!'@CTA[8-2-3-3-5-3521,F,5,#6]'</f>
        <v>0</v>
      </c>
      <c r="J423" s="75">
        <f>[1]!'@CTA[8-2-1-3-5-3521,F,5,#6]'+[1]!'@CTA[8-2-3-3-5-3521,F,5,#6]'</f>
        <v>0</v>
      </c>
      <c r="K423" s="76">
        <f>[1]!'@CTA[8-2-4-3-5-3521,J,5,#6]'</f>
        <v>0</v>
      </c>
      <c r="L423" s="76">
        <f>[1]!'@CTA[8-2-5-3-5-3521,J,5,#6]'</f>
        <v>0</v>
      </c>
      <c r="M423" s="76">
        <f>[1]!'@CTA[8-2-6-3-5-3521,J,5,#6]'</f>
        <v>0</v>
      </c>
      <c r="N423" s="74">
        <f>[1]!'@CTA[8-2-7-3-5-3521,F,5,#6]'</f>
        <v>0</v>
      </c>
      <c r="O423" s="66">
        <f t="shared" si="27"/>
        <v>0</v>
      </c>
    </row>
    <row r="424" spans="1:15" ht="108" x14ac:dyDescent="0.2">
      <c r="A424" s="67" t="s">
        <v>286</v>
      </c>
      <c r="B424" s="61" t="s">
        <v>152</v>
      </c>
      <c r="C424" s="61" t="s">
        <v>149</v>
      </c>
      <c r="D424" s="62" t="s">
        <v>289</v>
      </c>
      <c r="E424" s="71" t="s">
        <v>177</v>
      </c>
      <c r="F424" s="72">
        <v>3531</v>
      </c>
      <c r="G424" s="73" t="s">
        <v>229</v>
      </c>
      <c r="H424" s="74">
        <f>[1]!'@CTA[8-2-1-3-5-3531,F,5,#6]'</f>
        <v>0</v>
      </c>
      <c r="I424" s="74">
        <f>[1]!'@CTA[8-2-3-3-5-3531,F,5,#6]'</f>
        <v>0</v>
      </c>
      <c r="J424" s="75">
        <f>[1]!'@CTA[8-2-1-3-5-3531,F,5,#6]'+[1]!'@CTA[8-2-3-3-5-3531,F,5,#6]'</f>
        <v>0</v>
      </c>
      <c r="K424" s="76">
        <f>[1]!'@CTA[8-2-4-3-5-3531,J,5,#6]'</f>
        <v>0</v>
      </c>
      <c r="L424" s="76">
        <f>[1]!'@CTA[8-2-5-3-5-3531,J,5,#6]'</f>
        <v>0</v>
      </c>
      <c r="M424" s="76">
        <f>[1]!'@CTA[8-2-6-3-5-3531,J,5,#6]'</f>
        <v>0</v>
      </c>
      <c r="N424" s="74">
        <f>[1]!'@CTA[8-2-7-3-5-3531,F,5,#6]'</f>
        <v>0</v>
      </c>
      <c r="O424" s="66">
        <f t="shared" si="27"/>
        <v>0</v>
      </c>
    </row>
    <row r="425" spans="1:15" ht="108" x14ac:dyDescent="0.2">
      <c r="A425" s="67" t="s">
        <v>286</v>
      </c>
      <c r="B425" s="61" t="s">
        <v>152</v>
      </c>
      <c r="C425" s="61" t="s">
        <v>149</v>
      </c>
      <c r="D425" s="62" t="s">
        <v>289</v>
      </c>
      <c r="E425" s="71" t="s">
        <v>177</v>
      </c>
      <c r="F425" s="72">
        <v>3551</v>
      </c>
      <c r="G425" s="73" t="s">
        <v>230</v>
      </c>
      <c r="H425" s="74">
        <f>[1]!'@CTA[8-2-1-3-5-3551,F,5,#6]'</f>
        <v>6975</v>
      </c>
      <c r="I425" s="74">
        <f>[1]!'@CTA[8-2-3-3-5-3551,F,5,#6]'</f>
        <v>0</v>
      </c>
      <c r="J425" s="75">
        <f>[1]!'@CTA[8-2-1-3-5-3551,F,5,#6]'+[1]!'@CTA[8-2-3-3-5-3551,F,5,#6]'</f>
        <v>6975</v>
      </c>
      <c r="K425" s="76">
        <f>[1]!'@CTA[8-2-4-3-5-3551,J,5,#6]'</f>
        <v>59.05</v>
      </c>
      <c r="L425" s="76">
        <f>[1]!'@CTA[8-2-5-3-5-3551,J,5,#6]'</f>
        <v>59.05</v>
      </c>
      <c r="M425" s="76">
        <f>[1]!'@CTA[8-2-6-3-5-3551,J,5,#6]'</f>
        <v>59.05</v>
      </c>
      <c r="N425" s="74">
        <f>[1]!'@CTA[8-2-7-3-5-3551,F,5,#6]'</f>
        <v>59.04999999999454</v>
      </c>
      <c r="O425" s="66">
        <f t="shared" si="27"/>
        <v>6915.95</v>
      </c>
    </row>
    <row r="426" spans="1:15" ht="108" x14ac:dyDescent="0.2">
      <c r="A426" s="67" t="s">
        <v>286</v>
      </c>
      <c r="B426" s="61" t="s">
        <v>152</v>
      </c>
      <c r="C426" s="61" t="s">
        <v>149</v>
      </c>
      <c r="D426" s="62" t="s">
        <v>289</v>
      </c>
      <c r="E426" s="71" t="s">
        <v>177</v>
      </c>
      <c r="F426" s="72">
        <v>3571</v>
      </c>
      <c r="G426" s="73" t="s">
        <v>231</v>
      </c>
      <c r="H426" s="74">
        <f>[1]!'@CTA[8-2-1-3-5-3571,F,5,#6]'</f>
        <v>0</v>
      </c>
      <c r="I426" s="74">
        <f>[1]!'@CTA[8-2-3-3-5-3571,F,5,#6]'</f>
        <v>0</v>
      </c>
      <c r="J426" s="75">
        <f>[1]!'@CTA[8-2-1-3-5-3571,F,5,#6]'+[1]!'@CTA[8-2-3-3-5-3571,F,5,#6]'</f>
        <v>0</v>
      </c>
      <c r="K426" s="76">
        <f>[1]!'@CTA[8-2-4-3-5-3571,J,5,#6]'</f>
        <v>0</v>
      </c>
      <c r="L426" s="76">
        <f>[1]!'@CTA[8-2-5-3-5-3571,J,5,#6]'</f>
        <v>0</v>
      </c>
      <c r="M426" s="76">
        <f>[1]!'@CTA[8-2-6-3-5-3571,J,5,#6]'</f>
        <v>0</v>
      </c>
      <c r="N426" s="74">
        <f>[1]!'@CTA[8-2-7-3-5-3571,F,5,#6]'</f>
        <v>0</v>
      </c>
      <c r="O426" s="66">
        <f t="shared" si="27"/>
        <v>0</v>
      </c>
    </row>
    <row r="427" spans="1:15" ht="108" x14ac:dyDescent="0.2">
      <c r="A427" s="67" t="s">
        <v>286</v>
      </c>
      <c r="B427" s="61" t="s">
        <v>152</v>
      </c>
      <c r="C427" s="61" t="s">
        <v>149</v>
      </c>
      <c r="D427" s="62" t="s">
        <v>289</v>
      </c>
      <c r="E427" s="71" t="s">
        <v>177</v>
      </c>
      <c r="F427" s="72">
        <v>3572</v>
      </c>
      <c r="G427" s="73" t="s">
        <v>232</v>
      </c>
      <c r="H427" s="74">
        <f>[1]!'@CTA[8-2-1-3-5-3572,F,5,#6]'</f>
        <v>0</v>
      </c>
      <c r="I427" s="74">
        <f>[1]!'@CTA[8-2-3-3-5-3572,F,5,#6]'</f>
        <v>0</v>
      </c>
      <c r="J427" s="75">
        <f>[1]!'@CTA[8-2-1-3-5-3572,F,5,#6]'+[1]!'@CTA[8-2-3-3-5-3572,F,5,#6]'</f>
        <v>0</v>
      </c>
      <c r="K427" s="76">
        <f>[1]!'@CTA[8-2-4-3-5-3572,J,5,#6]'</f>
        <v>0</v>
      </c>
      <c r="L427" s="76">
        <f>[1]!'@CTA[8-2-5-3-5-3572,J,5,#6]'</f>
        <v>0</v>
      </c>
      <c r="M427" s="76">
        <f>[1]!'@CTA[8-2-6-3-5-3572,J,5,#6]'</f>
        <v>0</v>
      </c>
      <c r="N427" s="74">
        <f>[1]!'@CTA[8-2-7-3-5-3572,F,5,#6]'</f>
        <v>0</v>
      </c>
      <c r="O427" s="66">
        <f t="shared" si="27"/>
        <v>0</v>
      </c>
    </row>
    <row r="428" spans="1:15" ht="108" x14ac:dyDescent="0.2">
      <c r="A428" s="67" t="s">
        <v>286</v>
      </c>
      <c r="B428" s="61" t="s">
        <v>152</v>
      </c>
      <c r="C428" s="61" t="s">
        <v>149</v>
      </c>
      <c r="D428" s="62" t="s">
        <v>289</v>
      </c>
      <c r="E428" s="71" t="s">
        <v>177</v>
      </c>
      <c r="F428" s="72">
        <v>3573</v>
      </c>
      <c r="G428" s="73" t="s">
        <v>233</v>
      </c>
      <c r="H428" s="74">
        <f>[1]!'@CTA[8-2-1-3-5-3573,F,5,#6]'</f>
        <v>0</v>
      </c>
      <c r="I428" s="74">
        <f>[1]!'@CTA[8-2-3-3-5-3573,F,5,#6]'</f>
        <v>0</v>
      </c>
      <c r="J428" s="75">
        <f>[1]!'@CTA[8-2-1-3-5-3573,F,5,#6]'+[1]!'@CTA[8-2-3-3-5-3573,F,5,#6]'</f>
        <v>0</v>
      </c>
      <c r="K428" s="76">
        <f>[1]!'@CTA[8-2-4-3-5-3573,J,5,#6]'</f>
        <v>0</v>
      </c>
      <c r="L428" s="76">
        <f>[1]!'@CTA[8-2-5-3-5-3573,J,5,#6]'</f>
        <v>0</v>
      </c>
      <c r="M428" s="76">
        <f>[1]!'@CTA[8-2-6-3-5-3573,J,5,#6]'</f>
        <v>0</v>
      </c>
      <c r="N428" s="74">
        <f>[1]!'@CTA[8-2-7-3-5-3573,F,5,#6]'</f>
        <v>0</v>
      </c>
      <c r="O428" s="66">
        <f t="shared" si="27"/>
        <v>0</v>
      </c>
    </row>
    <row r="429" spans="1:15" ht="108" x14ac:dyDescent="0.2">
      <c r="A429" s="67" t="s">
        <v>286</v>
      </c>
      <c r="B429" s="61" t="s">
        <v>152</v>
      </c>
      <c r="C429" s="61" t="s">
        <v>149</v>
      </c>
      <c r="D429" s="62" t="s">
        <v>289</v>
      </c>
      <c r="E429" s="71" t="s">
        <v>177</v>
      </c>
      <c r="F429" s="72">
        <v>3574</v>
      </c>
      <c r="G429" s="73" t="s">
        <v>234</v>
      </c>
      <c r="H429" s="74">
        <f>[1]!'@CTA[8-2-1-3-5-3574,F,5,#6]'</f>
        <v>0</v>
      </c>
      <c r="I429" s="74">
        <f>[1]!'@CTA[8-2-3-3-5-3574,F,5,#6]'</f>
        <v>0</v>
      </c>
      <c r="J429" s="75">
        <f>[1]!'@CTA[8-2-1-3-5-3574,F,5,#6]'+[1]!'@CTA[8-2-3-3-5-3574,F,5,#6]'</f>
        <v>0</v>
      </c>
      <c r="K429" s="76">
        <f>[1]!'@CTA[8-2-4-3-5-3574,J,5,#6]'</f>
        <v>0</v>
      </c>
      <c r="L429" s="76">
        <f>[1]!'@CTA[8-2-5-3-5-3574,J,5,#6]'</f>
        <v>0</v>
      </c>
      <c r="M429" s="76">
        <f>[1]!'@CTA[8-2-6-3-5-3574,J,5,#6]'</f>
        <v>0</v>
      </c>
      <c r="N429" s="74">
        <f>[1]!'@CTA[8-2-7-3-5-3574,F,5,#6]'</f>
        <v>0</v>
      </c>
      <c r="O429" s="66">
        <f t="shared" si="27"/>
        <v>0</v>
      </c>
    </row>
    <row r="430" spans="1:15" ht="108" x14ac:dyDescent="0.2">
      <c r="A430" s="67" t="s">
        <v>286</v>
      </c>
      <c r="B430" s="61" t="s">
        <v>152</v>
      </c>
      <c r="C430" s="61" t="s">
        <v>149</v>
      </c>
      <c r="D430" s="62" t="s">
        <v>289</v>
      </c>
      <c r="E430" s="71" t="s">
        <v>177</v>
      </c>
      <c r="F430" s="72">
        <v>3575</v>
      </c>
      <c r="G430" s="73" t="s">
        <v>235</v>
      </c>
      <c r="H430" s="74">
        <f>[1]!'@CTA[8-2-1-3-5-3575,F,5,#6]'</f>
        <v>0</v>
      </c>
      <c r="I430" s="74">
        <f>[1]!'@CTA[8-2-3-3-5-3575,F,5,#6]'</f>
        <v>0</v>
      </c>
      <c r="J430" s="75">
        <f>[1]!'@CTA[8-2-1-3-5-3575,F,5,#6]'+[1]!'@CTA[8-2-3-3-5-3575,F,5,#6]'</f>
        <v>0</v>
      </c>
      <c r="K430" s="76">
        <f>[1]!'@CTA[8-2-4-3-5-3575,J,5,#6]'</f>
        <v>0</v>
      </c>
      <c r="L430" s="76">
        <f>[1]!'@CTA[8-2-5-3-5-3575,J,5,#6]'</f>
        <v>0</v>
      </c>
      <c r="M430" s="76">
        <f>[1]!'@CTA[8-2-6-3-5-3575,J,5,#6]'</f>
        <v>0</v>
      </c>
      <c r="N430" s="74">
        <f>[1]!'@CTA[8-2-7-3-5-3575,F,5,#6]'</f>
        <v>0</v>
      </c>
      <c r="O430" s="66">
        <f t="shared" si="27"/>
        <v>0</v>
      </c>
    </row>
    <row r="431" spans="1:15" ht="108" x14ac:dyDescent="0.2">
      <c r="A431" s="67" t="s">
        <v>286</v>
      </c>
      <c r="B431" s="61" t="s">
        <v>152</v>
      </c>
      <c r="C431" s="61" t="s">
        <v>149</v>
      </c>
      <c r="D431" s="62" t="s">
        <v>289</v>
      </c>
      <c r="E431" s="71" t="s">
        <v>177</v>
      </c>
      <c r="F431" s="72">
        <v>3576</v>
      </c>
      <c r="G431" s="73" t="s">
        <v>236</v>
      </c>
      <c r="H431" s="74">
        <f>[1]!'@CTA[8-2-1-3-5-3576,F,5,#6]'</f>
        <v>0</v>
      </c>
      <c r="I431" s="74">
        <f>[1]!'@CTA[8-2-3-3-5-3576,F,5,#6]'</f>
        <v>0</v>
      </c>
      <c r="J431" s="75">
        <f>[1]!'@CTA[8-2-1-3-5-3576,F,5,#6]'+[1]!'@CTA[8-2-3-3-5-3576,F,5,#6]'</f>
        <v>0</v>
      </c>
      <c r="K431" s="76">
        <f>[1]!'@CTA[8-2-4-3-5-3576,J,5,#6]'</f>
        <v>0</v>
      </c>
      <c r="L431" s="76">
        <f>[1]!'@CTA[8-2-5-3-5-3576,J,5,#6]'</f>
        <v>0</v>
      </c>
      <c r="M431" s="76">
        <f>[1]!'@CTA[8-2-6-3-5-3576,J,5,#6]'</f>
        <v>0</v>
      </c>
      <c r="N431" s="74">
        <f>[1]!'@CTA[8-2-7-3-5-3576,F,5,#6]'</f>
        <v>0</v>
      </c>
      <c r="O431" s="66">
        <f t="shared" si="27"/>
        <v>0</v>
      </c>
    </row>
    <row r="432" spans="1:15" ht="108" x14ac:dyDescent="0.2">
      <c r="A432" s="67" t="s">
        <v>286</v>
      </c>
      <c r="B432" s="61" t="s">
        <v>152</v>
      </c>
      <c r="C432" s="61" t="s">
        <v>149</v>
      </c>
      <c r="D432" s="62" t="s">
        <v>289</v>
      </c>
      <c r="E432" s="71" t="s">
        <v>177</v>
      </c>
      <c r="F432" s="72">
        <v>3577</v>
      </c>
      <c r="G432" s="73" t="s">
        <v>237</v>
      </c>
      <c r="H432" s="74">
        <f>[1]!'@CTA[8-2-1-3-5-3577,F,5,#6]'</f>
        <v>0</v>
      </c>
      <c r="I432" s="74">
        <f>[1]!'@CTA[8-2-3-3-5-3577,F,5,#6]'</f>
        <v>0</v>
      </c>
      <c r="J432" s="75">
        <f>[1]!'@CTA[8-2-1-3-5-3577,F,5,#6]'+[1]!'@CTA[8-2-3-3-5-3577,F,5,#6]'</f>
        <v>0</v>
      </c>
      <c r="K432" s="76">
        <f>[1]!'@CTA[8-2-4-3-5-3577,J,5,#6]'</f>
        <v>0</v>
      </c>
      <c r="L432" s="76">
        <f>[1]!'@CTA[8-2-5-3-5-3577,J,5,#6]'</f>
        <v>0</v>
      </c>
      <c r="M432" s="76">
        <f>[1]!'@CTA[8-2-6-3-5-3577,J,5,#6]'</f>
        <v>0</v>
      </c>
      <c r="N432" s="74">
        <f>[1]!'@CTA[8-2-7-3-5-3577,F,5,#6]'</f>
        <v>0</v>
      </c>
      <c r="O432" s="66">
        <f t="shared" si="27"/>
        <v>0</v>
      </c>
    </row>
    <row r="433" spans="1:15" ht="108" x14ac:dyDescent="0.2">
      <c r="A433" s="67" t="s">
        <v>286</v>
      </c>
      <c r="B433" s="61" t="s">
        <v>152</v>
      </c>
      <c r="C433" s="61" t="s">
        <v>149</v>
      </c>
      <c r="D433" s="62" t="s">
        <v>289</v>
      </c>
      <c r="E433" s="71" t="s">
        <v>177</v>
      </c>
      <c r="F433" s="72">
        <v>3611</v>
      </c>
      <c r="G433" s="73" t="s">
        <v>238</v>
      </c>
      <c r="H433" s="74">
        <f>[1]!'@CTA[8-2-1-3-6-3611,F,5,#6]'</f>
        <v>0</v>
      </c>
      <c r="I433" s="74">
        <f>[1]!'@CTA[8-2-3-3-6-3611,F,5,#6]'</f>
        <v>0</v>
      </c>
      <c r="J433" s="75">
        <f>[1]!'@CTA[8-2-1-3-6-3611,F,5,#6]'+[1]!'@CTA[8-2-3-3-6-3611,F,5,#6]'</f>
        <v>0</v>
      </c>
      <c r="K433" s="76">
        <f>[1]!'@CTA[8-2-4-3-6-3611,J,5,#6]'</f>
        <v>0</v>
      </c>
      <c r="L433" s="76">
        <f>[1]!'@CTA[8-2-5-3-6-3611,J,5,#6]'</f>
        <v>0</v>
      </c>
      <c r="M433" s="76">
        <f>[1]!'@CTA[8-2-6-3-6-3611,J,5,#6]'</f>
        <v>0</v>
      </c>
      <c r="N433" s="74">
        <f>[1]!'@CTA[8-2-7-3-6-3611,F,5,#6]'</f>
        <v>7.2759576141834259E-12</v>
      </c>
      <c r="O433" s="66">
        <f t="shared" si="27"/>
        <v>0</v>
      </c>
    </row>
    <row r="434" spans="1:15" ht="108" x14ac:dyDescent="0.2">
      <c r="A434" s="67" t="s">
        <v>286</v>
      </c>
      <c r="B434" s="61" t="s">
        <v>152</v>
      </c>
      <c r="C434" s="61" t="s">
        <v>149</v>
      </c>
      <c r="D434" s="62" t="s">
        <v>289</v>
      </c>
      <c r="E434" s="71" t="s">
        <v>177</v>
      </c>
      <c r="F434" s="72">
        <v>3721</v>
      </c>
      <c r="G434" s="73" t="s">
        <v>239</v>
      </c>
      <c r="H434" s="74">
        <f>[1]!'@CTA[8-2-1-3-7-3721,F,5,#6]'</f>
        <v>900</v>
      </c>
      <c r="I434" s="74">
        <f>[1]!'@CTA[8-2-3-3-7-3721,F,5,#6]'</f>
        <v>0</v>
      </c>
      <c r="J434" s="75">
        <f>[1]!'@CTA[8-2-1-3-7-3721,F,5,#6]'+[1]!'@CTA[8-2-3-3-7-3721,F,5,#6]'</f>
        <v>900</v>
      </c>
      <c r="K434" s="76">
        <f>[1]!'@CTA[8-2-4-3-7-3721,J,5,#6]'</f>
        <v>0</v>
      </c>
      <c r="L434" s="76">
        <f>[1]!'@CTA[8-2-5-3-7-3721,J,5,#6]'</f>
        <v>0</v>
      </c>
      <c r="M434" s="76">
        <f>[1]!'@CTA[8-2-6-3-7-3721,J,5,#6]'</f>
        <v>0</v>
      </c>
      <c r="N434" s="74">
        <f>[1]!'@CTA[8-2-7-3-7-3721,F,5,#6]'</f>
        <v>0</v>
      </c>
      <c r="O434" s="66">
        <f t="shared" si="27"/>
        <v>900</v>
      </c>
    </row>
    <row r="435" spans="1:15" ht="108" x14ac:dyDescent="0.2">
      <c r="A435" s="67" t="s">
        <v>286</v>
      </c>
      <c r="B435" s="61" t="s">
        <v>152</v>
      </c>
      <c r="C435" s="61" t="s">
        <v>149</v>
      </c>
      <c r="D435" s="62" t="s">
        <v>289</v>
      </c>
      <c r="E435" s="71" t="s">
        <v>177</v>
      </c>
      <c r="F435" s="72">
        <v>3722</v>
      </c>
      <c r="G435" s="73" t="s">
        <v>240</v>
      </c>
      <c r="H435" s="74">
        <f>[1]!'@CTA[8-2-1-3-7-3722,F,5,#6]'</f>
        <v>0</v>
      </c>
      <c r="I435" s="74">
        <f>[1]!'@CTA[8-2-3-3-7-3722,F,5,#6]'</f>
        <v>0</v>
      </c>
      <c r="J435" s="75">
        <f>[1]!'@CTA[8-2-1-3-7-3722,F,5,#6]'+[1]!'@CTA[8-2-3-3-7-3722,F,5,#6]'</f>
        <v>0</v>
      </c>
      <c r="K435" s="76">
        <f>[1]!'@CTA[8-2-4-3-7-3722,J,5,#6]'</f>
        <v>0</v>
      </c>
      <c r="L435" s="76">
        <f>[1]!'@CTA[8-2-5-3-7-3722,J,5,#6]'</f>
        <v>0</v>
      </c>
      <c r="M435" s="76">
        <f>[1]!'@CTA[8-2-6-3-7-3722,J,5,#6]'</f>
        <v>0</v>
      </c>
      <c r="N435" s="74">
        <f>[1]!'@CTA[8-2-7-3-7-3722,F,5,#6]'</f>
        <v>0</v>
      </c>
      <c r="O435" s="66">
        <f t="shared" si="27"/>
        <v>0</v>
      </c>
    </row>
    <row r="436" spans="1:15" ht="108" x14ac:dyDescent="0.2">
      <c r="A436" s="67" t="s">
        <v>286</v>
      </c>
      <c r="B436" s="61" t="s">
        <v>152</v>
      </c>
      <c r="C436" s="61" t="s">
        <v>149</v>
      </c>
      <c r="D436" s="62" t="s">
        <v>289</v>
      </c>
      <c r="E436" s="71" t="s">
        <v>177</v>
      </c>
      <c r="F436" s="72">
        <v>3751</v>
      </c>
      <c r="G436" s="73" t="s">
        <v>241</v>
      </c>
      <c r="H436" s="74">
        <f>[1]!'@CTA[8-2-1-3-7-3751,F,5,#6]'</f>
        <v>1800</v>
      </c>
      <c r="I436" s="74">
        <f>[1]!'@CTA[8-2-3-3-7-3751,F,5,#6]'</f>
        <v>0</v>
      </c>
      <c r="J436" s="75">
        <f>[1]!'@CTA[8-2-1-3-7-3751,F,5,#6]'+[1]!'@CTA[8-2-3-3-7-3751,F,5,#6]'</f>
        <v>1800</v>
      </c>
      <c r="K436" s="76">
        <f>[1]!'@CTA[8-2-4-3-7-3751,J,5,#6]'</f>
        <v>0</v>
      </c>
      <c r="L436" s="76">
        <f>[1]!'@CTA[8-2-5-3-7-3751,J,5,#6]'</f>
        <v>0</v>
      </c>
      <c r="M436" s="76">
        <f>[1]!'@CTA[8-2-6-3-7-3751,J,5,#6]'</f>
        <v>0</v>
      </c>
      <c r="N436" s="74">
        <f>[1]!'@CTA[8-2-7-3-7-3751,F,5,#6]'</f>
        <v>0</v>
      </c>
      <c r="O436" s="66">
        <f t="shared" si="27"/>
        <v>1800</v>
      </c>
    </row>
    <row r="437" spans="1:15" ht="108" x14ac:dyDescent="0.2">
      <c r="A437" s="67" t="s">
        <v>286</v>
      </c>
      <c r="B437" s="61" t="s">
        <v>152</v>
      </c>
      <c r="C437" s="61" t="s">
        <v>149</v>
      </c>
      <c r="D437" s="62" t="s">
        <v>289</v>
      </c>
      <c r="E437" s="71" t="s">
        <v>177</v>
      </c>
      <c r="F437" s="72">
        <v>3821</v>
      </c>
      <c r="G437" s="73" t="s">
        <v>242</v>
      </c>
      <c r="H437" s="74">
        <f>[1]!'@CTA[8-2-1-3-8-3821,F,5,#6]'</f>
        <v>0</v>
      </c>
      <c r="I437" s="74">
        <f>[1]!'@CTA[8-2-3-3-8-3821,F,5,#6]'</f>
        <v>0</v>
      </c>
      <c r="J437" s="75">
        <f>[1]!'@CTA[8-2-1-3-8-3821,F,5,#6]'+[1]!'@CTA[8-2-3-3-8-3821,F,5,#6]'</f>
        <v>0</v>
      </c>
      <c r="K437" s="76">
        <f>[1]!'@CTA[8-2-4-3-8-3821,J,5,#6]'</f>
        <v>0</v>
      </c>
      <c r="L437" s="76">
        <f>[1]!'@CTA[8-2-5-3-8-3821,J,5,#6]'</f>
        <v>0</v>
      </c>
      <c r="M437" s="76">
        <f>[1]!'@CTA[8-2-6-3-8-3821,J,5,#6]'</f>
        <v>0</v>
      </c>
      <c r="N437" s="74">
        <f>[1]!'@CTA[8-2-7-3-8-3821,F,5,#6]'</f>
        <v>0</v>
      </c>
      <c r="O437" s="66">
        <f t="shared" si="27"/>
        <v>0</v>
      </c>
    </row>
    <row r="438" spans="1:15" ht="108" x14ac:dyDescent="0.2">
      <c r="A438" s="67" t="s">
        <v>286</v>
      </c>
      <c r="B438" s="61" t="s">
        <v>152</v>
      </c>
      <c r="C438" s="61" t="s">
        <v>149</v>
      </c>
      <c r="D438" s="62" t="s">
        <v>289</v>
      </c>
      <c r="E438" s="71" t="s">
        <v>177</v>
      </c>
      <c r="F438" s="72">
        <v>3822</v>
      </c>
      <c r="G438" s="73" t="s">
        <v>243</v>
      </c>
      <c r="H438" s="74">
        <f>[1]!'@CTA[8-2-1-3-8-3822,F,5,#6]'</f>
        <v>0</v>
      </c>
      <c r="I438" s="74">
        <f>[1]!'@CTA[8-2-3-3-8-3822,F,5,#6]'</f>
        <v>0</v>
      </c>
      <c r="J438" s="75">
        <f>[1]!'@CTA[8-2-1-3-8-3822,F,5,#6]'+[1]!'@CTA[8-2-3-3-8-3822,F,5,#6]'</f>
        <v>0</v>
      </c>
      <c r="K438" s="76">
        <f>[1]!'@CTA[8-2-4-3-8-3822,J,5,#6]'</f>
        <v>0</v>
      </c>
      <c r="L438" s="76">
        <f>[1]!'@CTA[8-2-5-3-8-3822,J,5,#6]'</f>
        <v>0</v>
      </c>
      <c r="M438" s="76">
        <f>[1]!'@CTA[8-2-6-3-8-3822,J,5,#6]'</f>
        <v>0</v>
      </c>
      <c r="N438" s="74">
        <f>[1]!'@CTA[8-2-7-3-8-3822,F,5,#6]'</f>
        <v>0</v>
      </c>
      <c r="O438" s="66">
        <f t="shared" si="27"/>
        <v>0</v>
      </c>
    </row>
    <row r="439" spans="1:15" ht="108" x14ac:dyDescent="0.2">
      <c r="A439" s="67" t="s">
        <v>286</v>
      </c>
      <c r="B439" s="61" t="s">
        <v>152</v>
      </c>
      <c r="C439" s="61" t="s">
        <v>149</v>
      </c>
      <c r="D439" s="62" t="s">
        <v>289</v>
      </c>
      <c r="E439" s="71" t="s">
        <v>177</v>
      </c>
      <c r="F439" s="72">
        <v>3831</v>
      </c>
      <c r="G439" s="73" t="s">
        <v>244</v>
      </c>
      <c r="H439" s="74">
        <f>[1]!'@CTA[8-2-1-3-8-3831,F,5,#6]'</f>
        <v>0</v>
      </c>
      <c r="I439" s="74">
        <f>[1]!'@CTA[8-2-3-3-8-3831,F,5,#6]'</f>
        <v>0</v>
      </c>
      <c r="J439" s="75">
        <f>[1]!'@CTA[8-2-1-3-8-3831,F,5,#6]'+[1]!'@CTA[8-2-3-3-8-3831,F,5,#6]'</f>
        <v>0</v>
      </c>
      <c r="K439" s="76">
        <f>[1]!'@CTA[8-2-4-3-8-3831,J,5,#6]'</f>
        <v>0</v>
      </c>
      <c r="L439" s="76">
        <f>[1]!'@CTA[8-2-5-3-8-3831,J,5,#6]'</f>
        <v>0</v>
      </c>
      <c r="M439" s="76">
        <f>[1]!'@CTA[8-2-6-3-8-3831,J,5,#6]'</f>
        <v>0</v>
      </c>
      <c r="N439" s="74">
        <f>[1]!'@CTA[8-2-7-3-8-3831,F,5,#6]'</f>
        <v>0</v>
      </c>
      <c r="O439" s="66">
        <f t="shared" si="27"/>
        <v>0</v>
      </c>
    </row>
    <row r="440" spans="1:15" ht="108" x14ac:dyDescent="0.2">
      <c r="A440" s="67" t="s">
        <v>286</v>
      </c>
      <c r="B440" s="61" t="s">
        <v>152</v>
      </c>
      <c r="C440" s="61" t="s">
        <v>149</v>
      </c>
      <c r="D440" s="62" t="s">
        <v>289</v>
      </c>
      <c r="E440" s="71" t="s">
        <v>177</v>
      </c>
      <c r="F440" s="72">
        <v>3851</v>
      </c>
      <c r="G440" s="73" t="s">
        <v>245</v>
      </c>
      <c r="H440" s="74">
        <f>[1]!'@CTA[8-2-1-3-8-3851,F,5,#6]'</f>
        <v>0</v>
      </c>
      <c r="I440" s="74">
        <f>[1]!'@CTA[8-2-3-3-8-3851,F,5,#6]'</f>
        <v>0</v>
      </c>
      <c r="J440" s="75">
        <f>[1]!'@CTA[8-2-1-3-8-3851,F,5,#6]'+[1]!'@CTA[8-2-3-3-8-3851,F,5,#6]'</f>
        <v>0</v>
      </c>
      <c r="K440" s="76">
        <f>[1]!'@CTA[8-2-4-3-8-3851,J,5,#6]'</f>
        <v>0</v>
      </c>
      <c r="L440" s="76">
        <f>[1]!'@CTA[8-2-5-3-8-3851,J,5,#6]'</f>
        <v>0</v>
      </c>
      <c r="M440" s="76">
        <f>[1]!'@CTA[8-2-6-3-8-3851,J,5,#6]'</f>
        <v>0</v>
      </c>
      <c r="N440" s="74">
        <f>[1]!'@CTA[8-2-7-3-8-3851,F,5,#6]'</f>
        <v>0</v>
      </c>
      <c r="O440" s="66">
        <f t="shared" si="27"/>
        <v>0</v>
      </c>
    </row>
    <row r="441" spans="1:15" ht="108" x14ac:dyDescent="0.2">
      <c r="A441" s="67" t="s">
        <v>286</v>
      </c>
      <c r="B441" s="61" t="s">
        <v>152</v>
      </c>
      <c r="C441" s="61" t="s">
        <v>149</v>
      </c>
      <c r="D441" s="62" t="s">
        <v>289</v>
      </c>
      <c r="E441" s="71" t="s">
        <v>177</v>
      </c>
      <c r="F441" s="72">
        <v>3921</v>
      </c>
      <c r="G441" s="73" t="s">
        <v>246</v>
      </c>
      <c r="H441" s="74">
        <f>[1]!'@CTA[8-2-1-3-9-3921,F,5,#6]'</f>
        <v>0</v>
      </c>
      <c r="I441" s="74">
        <f>[1]!'@CTA[8-2-3-3-9-3921,F,5,#6]'</f>
        <v>0</v>
      </c>
      <c r="J441" s="75">
        <f>[1]!'@CTA[8-2-1-3-9-3921,F,5,#6]'+[1]!'@CTA[8-2-3-3-9-3921,F,5,#6]'</f>
        <v>0</v>
      </c>
      <c r="K441" s="76">
        <f>[1]!'@CTA[8-2-4-3-9-3921,J,5,#6]'</f>
        <v>0</v>
      </c>
      <c r="L441" s="76">
        <f>[1]!'@CTA[8-2-5-3-9-3921,J,5,#6]'</f>
        <v>0</v>
      </c>
      <c r="M441" s="76">
        <f>[1]!'@CTA[8-2-6-3-9-3921,J,5,#6]'</f>
        <v>0</v>
      </c>
      <c r="N441" s="74">
        <f>[1]!'@CTA[8-2-7-3-9-3921,F,5,#6]'</f>
        <v>0</v>
      </c>
      <c r="O441" s="66">
        <f t="shared" si="27"/>
        <v>0</v>
      </c>
    </row>
    <row r="442" spans="1:15" ht="108" x14ac:dyDescent="0.2">
      <c r="A442" s="67" t="s">
        <v>286</v>
      </c>
      <c r="B442" s="61" t="s">
        <v>152</v>
      </c>
      <c r="C442" s="61" t="s">
        <v>149</v>
      </c>
      <c r="D442" s="62" t="s">
        <v>289</v>
      </c>
      <c r="E442" s="71" t="s">
        <v>177</v>
      </c>
      <c r="F442" s="72">
        <v>3922</v>
      </c>
      <c r="G442" s="73" t="s">
        <v>247</v>
      </c>
      <c r="H442" s="74">
        <f>[1]!'@CTA[8-2-1-3-9-3922,F,5,#6]'</f>
        <v>0</v>
      </c>
      <c r="I442" s="74">
        <f>[1]!'@CTA[8-2-3-3-9-3922,F,5,#6]'</f>
        <v>0</v>
      </c>
      <c r="J442" s="75">
        <f>[1]!'@CTA[8-2-1-3-9-3922,F,5,#6]'+[1]!'@CTA[8-2-3-3-9-3922,F,5,#6]'</f>
        <v>0</v>
      </c>
      <c r="K442" s="76">
        <f>[1]!'@CTA[8-2-4-3-9-3922,J,5,#6]'</f>
        <v>0</v>
      </c>
      <c r="L442" s="76">
        <f>[1]!'@CTA[8-2-5-3-9-3922,J,5,#6]'</f>
        <v>0</v>
      </c>
      <c r="M442" s="76">
        <f>[1]!'@CTA[8-2-6-3-9-3922,J,5,#6]'</f>
        <v>0</v>
      </c>
      <c r="N442" s="74">
        <f>[1]!'@CTA[8-2-7-3-9-3922,F,5,#6]'</f>
        <v>0</v>
      </c>
      <c r="O442" s="66">
        <f t="shared" si="27"/>
        <v>0</v>
      </c>
    </row>
    <row r="443" spans="1:15" ht="108" x14ac:dyDescent="0.2">
      <c r="A443" s="67" t="s">
        <v>286</v>
      </c>
      <c r="B443" s="61" t="s">
        <v>152</v>
      </c>
      <c r="C443" s="61" t="s">
        <v>149</v>
      </c>
      <c r="D443" s="62" t="s">
        <v>289</v>
      </c>
      <c r="E443" s="71" t="s">
        <v>177</v>
      </c>
      <c r="F443" s="72">
        <v>3923</v>
      </c>
      <c r="G443" s="73" t="s">
        <v>248</v>
      </c>
      <c r="H443" s="74">
        <f>[1]!'@CTA[8-2-1-3-9-3923,F,5,#6]'</f>
        <v>119</v>
      </c>
      <c r="I443" s="74">
        <f>[1]!'@CTA[8-2-3-3-9-3923,F,5,#6]'</f>
        <v>0</v>
      </c>
      <c r="J443" s="75">
        <f>[1]!'@CTA[8-2-1-3-9-3923,F,5,#6]'+[1]!'@CTA[8-2-3-3-9-3923,F,5,#6]'</f>
        <v>119</v>
      </c>
      <c r="K443" s="76">
        <f>[1]!'@CTA[8-2-4-3-9-3923,J,5,#6]'</f>
        <v>119</v>
      </c>
      <c r="L443" s="76">
        <f>[1]!'@CTA[8-2-5-3-9-3923,J,5,#6]'</f>
        <v>119</v>
      </c>
      <c r="M443" s="76">
        <f>[1]!'@CTA[8-2-6-3-9-3923,J,5,#6]'</f>
        <v>119</v>
      </c>
      <c r="N443" s="74">
        <f>[1]!'@CTA[8-2-7-3-9-3923,F,5,#6]'</f>
        <v>119</v>
      </c>
      <c r="O443" s="66">
        <f t="shared" si="27"/>
        <v>0</v>
      </c>
    </row>
    <row r="444" spans="1:15" ht="108" x14ac:dyDescent="0.2">
      <c r="A444" s="67" t="s">
        <v>286</v>
      </c>
      <c r="B444" s="61" t="s">
        <v>152</v>
      </c>
      <c r="C444" s="61" t="s">
        <v>149</v>
      </c>
      <c r="D444" s="62" t="s">
        <v>289</v>
      </c>
      <c r="E444" s="71" t="s">
        <v>177</v>
      </c>
      <c r="F444" s="72">
        <v>3924</v>
      </c>
      <c r="G444" s="73" t="s">
        <v>249</v>
      </c>
      <c r="H444" s="74">
        <f>[1]!'@CTA[8-2-1-3-9-3924,F,5,#6]'</f>
        <v>1343</v>
      </c>
      <c r="I444" s="74">
        <f>[1]!'@CTA[8-2-3-3-9-3924,F,5,#6]'</f>
        <v>0</v>
      </c>
      <c r="J444" s="75">
        <f>[1]!'@CTA[8-2-1-3-9-3924,F,5,#6]'+[1]!'@CTA[8-2-3-3-9-3924,F,5,#6]'</f>
        <v>1343</v>
      </c>
      <c r="K444" s="76">
        <f>[1]!'@CTA[8-2-4-3-9-3924,J,5,#6]'</f>
        <v>1368.28</v>
      </c>
      <c r="L444" s="76">
        <f>[1]!'@CTA[8-2-5-3-9-3924,J,5,#6]'</f>
        <v>1368.28</v>
      </c>
      <c r="M444" s="76">
        <f>[1]!'@CTA[8-2-6-3-9-3924,J,5,#6]'</f>
        <v>1368.28</v>
      </c>
      <c r="N444" s="74">
        <f>[1]!'@CTA[8-2-7-3-9-3924,F,5,#6]'</f>
        <v>1368.28</v>
      </c>
      <c r="O444" s="66">
        <f t="shared" si="27"/>
        <v>-25.279999999999973</v>
      </c>
    </row>
    <row r="445" spans="1:15" ht="108" x14ac:dyDescent="0.2">
      <c r="A445" s="67" t="s">
        <v>286</v>
      </c>
      <c r="B445" s="61" t="s">
        <v>152</v>
      </c>
      <c r="C445" s="61" t="s">
        <v>149</v>
      </c>
      <c r="D445" s="62" t="s">
        <v>289</v>
      </c>
      <c r="E445" s="71" t="s">
        <v>177</v>
      </c>
      <c r="F445" s="72">
        <v>3925</v>
      </c>
      <c r="G445" s="73" t="s">
        <v>250</v>
      </c>
      <c r="H445" s="74">
        <f>[1]!'@CTA[8-2-1-3-9-3925,F,5,#6]'</f>
        <v>996</v>
      </c>
      <c r="I445" s="74">
        <f>[1]!'@CTA[8-2-3-3-9-3925,F,5,#6]'</f>
        <v>-9.0949470177292824E-13</v>
      </c>
      <c r="J445" s="75">
        <f>[1]!'@CTA[8-2-1-3-9-3925,F,5,#6]'+[1]!'@CTA[8-2-3-3-9-3925,F,5,#6]'</f>
        <v>995.99999999999909</v>
      </c>
      <c r="K445" s="76">
        <f>[1]!'@CTA[8-2-4-3-9-3925,J,5,#6]'</f>
        <v>0</v>
      </c>
      <c r="L445" s="76">
        <f>[1]!'@CTA[8-2-5-3-9-3925,J,5,#6]'</f>
        <v>0</v>
      </c>
      <c r="M445" s="76">
        <f>[1]!'@CTA[8-2-6-3-9-3925,J,5,#6]'</f>
        <v>0</v>
      </c>
      <c r="N445" s="74">
        <f>[1]!'@CTA[8-2-7-3-9-3925,F,5,#6]'</f>
        <v>0</v>
      </c>
      <c r="O445" s="66">
        <f t="shared" si="27"/>
        <v>995.99999999999909</v>
      </c>
    </row>
    <row r="446" spans="1:15" ht="108" x14ac:dyDescent="0.2">
      <c r="A446" s="67" t="s">
        <v>286</v>
      </c>
      <c r="B446" s="61" t="s">
        <v>152</v>
      </c>
      <c r="C446" s="61" t="s">
        <v>149</v>
      </c>
      <c r="D446" s="62" t="s">
        <v>289</v>
      </c>
      <c r="E446" s="71" t="s">
        <v>177</v>
      </c>
      <c r="F446" s="72">
        <v>3926</v>
      </c>
      <c r="G446" s="73" t="s">
        <v>251</v>
      </c>
      <c r="H446" s="74">
        <f>[1]!'@CTA[8-2-1-3-9-3926,F,5,#6]'</f>
        <v>0</v>
      </c>
      <c r="I446" s="74">
        <f>[1]!'@CTA[8-2-3-3-9-3926,F,5,#6]'</f>
        <v>0</v>
      </c>
      <c r="J446" s="75">
        <f>[1]!'@CTA[8-2-1-3-9-3926,F,5,#6]'+[1]!'@CTA[8-2-3-3-9-3926,F,5,#6]'</f>
        <v>0</v>
      </c>
      <c r="K446" s="76">
        <f>[1]!'@CTA[8-2-4-3-9-3926,J,5,#6]'</f>
        <v>0</v>
      </c>
      <c r="L446" s="76">
        <f>[1]!'@CTA[8-2-5-3-9-3926,J,5,#6]'</f>
        <v>0</v>
      </c>
      <c r="M446" s="76">
        <f>[1]!'@CTA[8-2-6-3-9-3926,J,5,#6]'</f>
        <v>0</v>
      </c>
      <c r="N446" s="74">
        <f>[1]!'@CTA[8-2-7-3-9-3926,F,5,#6]'</f>
        <v>0</v>
      </c>
      <c r="O446" s="66">
        <f t="shared" si="27"/>
        <v>0</v>
      </c>
    </row>
    <row r="447" spans="1:15" ht="108" x14ac:dyDescent="0.2">
      <c r="A447" s="67" t="s">
        <v>286</v>
      </c>
      <c r="B447" s="61" t="s">
        <v>152</v>
      </c>
      <c r="C447" s="61" t="s">
        <v>149</v>
      </c>
      <c r="D447" s="62" t="s">
        <v>289</v>
      </c>
      <c r="E447" s="71" t="s">
        <v>177</v>
      </c>
      <c r="F447" s="72">
        <v>3961</v>
      </c>
      <c r="G447" s="73" t="s">
        <v>252</v>
      </c>
      <c r="H447" s="74">
        <f>[1]!'@CTA[8-2-1-3-9-3961,F,5,#6]'</f>
        <v>0</v>
      </c>
      <c r="I447" s="74">
        <f>[1]!'@CTA[8-2-3-3-9-3961,F,5,#6]'</f>
        <v>0</v>
      </c>
      <c r="J447" s="75">
        <f>[1]!'@CTA[8-2-1-3-9-3961,F,5,#6]'+[1]!'@CTA[8-2-3-3-9-3961,F,5,#6]'</f>
        <v>0</v>
      </c>
      <c r="K447" s="76">
        <f>[1]!'@CTA[8-2-4-3-9-3961,J,5,#6]'</f>
        <v>0</v>
      </c>
      <c r="L447" s="76">
        <f>[1]!'@CTA[8-2-5-3-9-3961,J,5,#6]'</f>
        <v>0</v>
      </c>
      <c r="M447" s="76">
        <f>[1]!'@CTA[8-2-6-3-9-3961,J,5,#6]'</f>
        <v>0</v>
      </c>
      <c r="N447" s="74">
        <f>[1]!'@CTA[8-2-7-3-9-3961,F,5,#6]'</f>
        <v>0</v>
      </c>
      <c r="O447" s="66">
        <f t="shared" si="27"/>
        <v>0</v>
      </c>
    </row>
    <row r="448" spans="1:15" ht="108" x14ac:dyDescent="0.2">
      <c r="A448" s="67" t="s">
        <v>286</v>
      </c>
      <c r="B448" s="61" t="s">
        <v>152</v>
      </c>
      <c r="C448" s="61" t="s">
        <v>149</v>
      </c>
      <c r="D448" s="62" t="s">
        <v>289</v>
      </c>
      <c r="E448" s="71" t="s">
        <v>177</v>
      </c>
      <c r="F448" s="72">
        <v>3962</v>
      </c>
      <c r="G448" s="73" t="s">
        <v>253</v>
      </c>
      <c r="H448" s="74">
        <f>[1]!'@CTA[8-2-1-3-9-3962,F,5,#6]'</f>
        <v>0</v>
      </c>
      <c r="I448" s="74">
        <f>[1]!'@CTA[8-2-3-3-9-3962,F,5,#6]'</f>
        <v>0</v>
      </c>
      <c r="J448" s="75">
        <f>[1]!'@CTA[8-2-1-3-9-3962,F,5,#6]'+[1]!'@CTA[8-2-3-3-9-3962,F,5,#6]'</f>
        <v>0</v>
      </c>
      <c r="K448" s="76">
        <f>[1]!'@CTA[8-2-4-3-9-3962,J,5,#6]'</f>
        <v>0</v>
      </c>
      <c r="L448" s="76">
        <f>[1]!'@CTA[8-2-5-3-9-3962,J,5,#6]'</f>
        <v>0</v>
      </c>
      <c r="M448" s="76">
        <f>[1]!'@CTA[8-2-6-3-9-3962,J,5,#6]'</f>
        <v>0</v>
      </c>
      <c r="N448" s="74">
        <f>[1]!'@CTA[8-2-7-3-9-3962,F,5,#6]'</f>
        <v>0</v>
      </c>
      <c r="O448" s="66">
        <f t="shared" si="27"/>
        <v>0</v>
      </c>
    </row>
    <row r="449" spans="1:15" ht="108" x14ac:dyDescent="0.2">
      <c r="A449" s="67" t="s">
        <v>286</v>
      </c>
      <c r="B449" s="61" t="s">
        <v>152</v>
      </c>
      <c r="C449" s="61" t="s">
        <v>149</v>
      </c>
      <c r="D449" s="62" t="s">
        <v>289</v>
      </c>
      <c r="E449" s="71" t="s">
        <v>254</v>
      </c>
      <c r="F449" s="72">
        <v>3981</v>
      </c>
      <c r="G449" s="73" t="s">
        <v>255</v>
      </c>
      <c r="H449" s="74">
        <f>[1]!'@CTA[8-2-1-3-9-3981,F,5,#6]'</f>
        <v>27640</v>
      </c>
      <c r="I449" s="74">
        <f>[1]!'@CTA[8-2-3-3-9-3981,F,5,#6]'</f>
        <v>3253.35</v>
      </c>
      <c r="J449" s="75">
        <f>[1]!'@CTA[8-2-1-3-9-3981,F,5,#6]'+[1]!'@CTA[8-2-3-3-9-3981,F,5,#6]'</f>
        <v>30893.35</v>
      </c>
      <c r="K449" s="76">
        <f>[1]!'@CTA[8-2-4-3-9-3981,J,5,#6]'</f>
        <v>5943.32</v>
      </c>
      <c r="L449" s="76">
        <f>[1]!'@CTA[8-2-5-3-9-3981,J,5,#6]'</f>
        <v>5943.32</v>
      </c>
      <c r="M449" s="76">
        <f>[1]!'@CTA[8-2-6-3-9-3981,J,5,#6]'</f>
        <v>5943.32</v>
      </c>
      <c r="N449" s="74">
        <f>[1]!'@CTA[8-2-7-3-9-3981,F,5,#6]'</f>
        <v>3801.0000000000036</v>
      </c>
      <c r="O449" s="66">
        <f t="shared" si="27"/>
        <v>24950.03</v>
      </c>
    </row>
    <row r="450" spans="1:15" ht="108" x14ac:dyDescent="0.2">
      <c r="A450" s="67" t="s">
        <v>286</v>
      </c>
      <c r="B450" s="61"/>
      <c r="C450" s="61" t="s">
        <v>149</v>
      </c>
      <c r="D450" s="62" t="s">
        <v>289</v>
      </c>
      <c r="E450" s="61"/>
      <c r="F450" s="63">
        <v>5000</v>
      </c>
      <c r="G450" s="77" t="s">
        <v>256</v>
      </c>
      <c r="H450" s="69">
        <f t="shared" ref="H450:N450" si="29">SUBTOTAL(9,H451:H461)</f>
        <v>66100</v>
      </c>
      <c r="I450" s="69">
        <f t="shared" si="29"/>
        <v>0</v>
      </c>
      <c r="J450" s="69">
        <f t="shared" si="29"/>
        <v>66100</v>
      </c>
      <c r="K450" s="70">
        <f t="shared" si="29"/>
        <v>0</v>
      </c>
      <c r="L450" s="70">
        <f t="shared" si="29"/>
        <v>0</v>
      </c>
      <c r="M450" s="70">
        <f t="shared" si="29"/>
        <v>0</v>
      </c>
      <c r="N450" s="69">
        <f t="shared" si="29"/>
        <v>0</v>
      </c>
      <c r="O450" s="66">
        <f t="shared" si="27"/>
        <v>66100</v>
      </c>
    </row>
    <row r="451" spans="1:15" ht="108" x14ac:dyDescent="0.2">
      <c r="A451" s="67" t="s">
        <v>286</v>
      </c>
      <c r="B451" s="61" t="s">
        <v>152</v>
      </c>
      <c r="C451" s="61" t="s">
        <v>149</v>
      </c>
      <c r="D451" s="62" t="s">
        <v>289</v>
      </c>
      <c r="E451" s="71" t="s">
        <v>257</v>
      </c>
      <c r="F451" s="72">
        <v>5111</v>
      </c>
      <c r="G451" s="73" t="s">
        <v>258</v>
      </c>
      <c r="H451" s="74">
        <f>[1]!'@CTA[8-2-1-5-1-5111,F,5,#6]'</f>
        <v>0</v>
      </c>
      <c r="I451" s="74">
        <f>[1]!'@CTA[8-2-3-5-1-5111,F,5,#6]'</f>
        <v>0</v>
      </c>
      <c r="J451" s="75">
        <f>[1]!'@CTA[8-2-1-5-1-5111,F,5,#6]'+[1]!'@CTA[8-2-3-5-1-5111,F,5,#6]'</f>
        <v>0</v>
      </c>
      <c r="K451" s="76">
        <f>[1]!'@CTA[8-2-4-5-1-5111,J,5,#6]'</f>
        <v>0</v>
      </c>
      <c r="L451" s="76">
        <f>[1]!'@CTA[8-2-5-5-1-5111,J,5,#6]'</f>
        <v>0</v>
      </c>
      <c r="M451" s="76">
        <f>[1]!'@CTA[8-2-6-5-1-5111,J,5,#6]'</f>
        <v>0</v>
      </c>
      <c r="N451" s="74">
        <f>[1]!'@CTA[8-2-7-5-1-5111,F,5,#6]'</f>
        <v>0</v>
      </c>
      <c r="O451" s="66">
        <f t="shared" si="27"/>
        <v>0</v>
      </c>
    </row>
    <row r="452" spans="1:15" ht="108" x14ac:dyDescent="0.2">
      <c r="A452" s="67" t="s">
        <v>286</v>
      </c>
      <c r="B452" s="61" t="s">
        <v>152</v>
      </c>
      <c r="C452" s="61" t="s">
        <v>149</v>
      </c>
      <c r="D452" s="62" t="s">
        <v>289</v>
      </c>
      <c r="E452" s="71" t="s">
        <v>259</v>
      </c>
      <c r="F452" s="72">
        <v>5151</v>
      </c>
      <c r="G452" s="73" t="s">
        <v>260</v>
      </c>
      <c r="H452" s="74">
        <f>[1]!'@CTA[8-2-1-5-1-5151,F,5,#6]'</f>
        <v>60000</v>
      </c>
      <c r="I452" s="74">
        <f>[1]!'@CTA[8-2-3-5-1-5151,F,5,#6]'</f>
        <v>0</v>
      </c>
      <c r="J452" s="75">
        <f>[1]!'@CTA[8-2-1-5-1-5151,F,5,#6]'+[1]!'@CTA[8-2-3-5-1-5151,F,5,#6]'</f>
        <v>60000</v>
      </c>
      <c r="K452" s="76">
        <f>[1]!'@CTA[8-2-4-5-1-5151,J,5,#6]'</f>
        <v>0</v>
      </c>
      <c r="L452" s="76">
        <f>[1]!'@CTA[8-2-5-5-1-5151,J,5,#6]'</f>
        <v>0</v>
      </c>
      <c r="M452" s="76">
        <f>[1]!'@CTA[8-2-6-5-1-5151,J,5,#6]'</f>
        <v>0</v>
      </c>
      <c r="N452" s="74">
        <f>[1]!'@CTA[8-2-7-5-1-5151,F,5,#6]'</f>
        <v>0</v>
      </c>
      <c r="O452" s="66">
        <f t="shared" si="27"/>
        <v>60000</v>
      </c>
    </row>
    <row r="453" spans="1:15" ht="108" x14ac:dyDescent="0.2">
      <c r="A453" s="67" t="s">
        <v>286</v>
      </c>
      <c r="B453" s="61" t="s">
        <v>152</v>
      </c>
      <c r="C453" s="61" t="s">
        <v>149</v>
      </c>
      <c r="D453" s="62" t="s">
        <v>289</v>
      </c>
      <c r="E453" s="71" t="s">
        <v>259</v>
      </c>
      <c r="F453" s="72">
        <v>5152</v>
      </c>
      <c r="G453" s="73" t="s">
        <v>261</v>
      </c>
      <c r="H453" s="74">
        <f>[1]!'@CTA[8-2-1-5-1-5152,F,5,#6]'</f>
        <v>0</v>
      </c>
      <c r="I453" s="74">
        <f>[1]!'@CTA[8-2-3-5-1-5152,F,5,#6]'</f>
        <v>0</v>
      </c>
      <c r="J453" s="75">
        <f>[1]!'@CTA[8-2-1-5-1-5152,F,5,#6]'+[1]!'@CTA[8-2-3-5-1-5152,F,5,#6]'</f>
        <v>0</v>
      </c>
      <c r="K453" s="76">
        <f>[1]!'@CTA[8-2-4-5-1-5152,J,5,#6]'</f>
        <v>0</v>
      </c>
      <c r="L453" s="76">
        <f>[1]!'@CTA[8-2-5-5-1-5152,J,5,#6]'</f>
        <v>0</v>
      </c>
      <c r="M453" s="76">
        <f>[1]!'@CTA[8-2-6-5-1-5152,J,5,#6]'</f>
        <v>0</v>
      </c>
      <c r="N453" s="74">
        <f>[1]!'@CTA[8-2-7-5-1-5152,F,5,#6]'</f>
        <v>0</v>
      </c>
      <c r="O453" s="66">
        <f t="shared" si="27"/>
        <v>0</v>
      </c>
    </row>
    <row r="454" spans="1:15" ht="108" x14ac:dyDescent="0.2">
      <c r="A454" s="67" t="s">
        <v>286</v>
      </c>
      <c r="B454" s="61" t="s">
        <v>152</v>
      </c>
      <c r="C454" s="61" t="s">
        <v>149</v>
      </c>
      <c r="D454" s="62" t="s">
        <v>289</v>
      </c>
      <c r="E454" s="71" t="s">
        <v>259</v>
      </c>
      <c r="F454" s="72">
        <v>5153</v>
      </c>
      <c r="G454" s="73" t="s">
        <v>262</v>
      </c>
      <c r="H454" s="74">
        <f>[1]!'@CTA[8-2-1-5-1-5153,F,5,#6]'</f>
        <v>0</v>
      </c>
      <c r="I454" s="74">
        <f>[1]!'@CTA[8-2-3-5-1-5153,F,5,#6]'</f>
        <v>0</v>
      </c>
      <c r="J454" s="75">
        <f>[1]!'@CTA[8-2-1-5-1-5153,F,5,#6]'+[1]!'@CTA[8-2-3-5-1-5153,F,5,#6]'</f>
        <v>0</v>
      </c>
      <c r="K454" s="76">
        <f>[1]!'@CTA[8-2-4-5-1-5153,J,5,#6]'</f>
        <v>0</v>
      </c>
      <c r="L454" s="76">
        <f>[1]!'@CTA[8-2-5-5-1-5153,J,5,#6]'</f>
        <v>0</v>
      </c>
      <c r="M454" s="76">
        <f>[1]!'@CTA[8-2-6-5-1-5153,J,5,#6]'</f>
        <v>0</v>
      </c>
      <c r="N454" s="74">
        <f>[1]!'@CTA[8-2-7-5-1-5153,F,5,#6]'</f>
        <v>0</v>
      </c>
      <c r="O454" s="66">
        <f t="shared" ref="O454:O517" si="30">J454-L454</f>
        <v>0</v>
      </c>
    </row>
    <row r="455" spans="1:15" ht="108" x14ac:dyDescent="0.2">
      <c r="A455" s="67" t="s">
        <v>286</v>
      </c>
      <c r="B455" s="61" t="s">
        <v>152</v>
      </c>
      <c r="C455" s="61" t="s">
        <v>149</v>
      </c>
      <c r="D455" s="62" t="s">
        <v>289</v>
      </c>
      <c r="E455" s="71" t="s">
        <v>257</v>
      </c>
      <c r="F455" s="72">
        <v>5231</v>
      </c>
      <c r="G455" s="73" t="s">
        <v>263</v>
      </c>
      <c r="H455" s="74">
        <f>[1]!'@CTA[8-2-1-5-2-5231,F,5,#6]'</f>
        <v>2200</v>
      </c>
      <c r="I455" s="74">
        <f>[1]!'@CTA[8-2-3-5-2-5231,F,5,#6]'</f>
        <v>0</v>
      </c>
      <c r="J455" s="75">
        <f>[1]!'@CTA[8-2-1-5-2-5231,F,5,#6]'+[1]!'@CTA[8-2-3-5-2-5231,F,5,#6]'</f>
        <v>2200</v>
      </c>
      <c r="K455" s="76">
        <f>[1]!'@CTA[8-2-4-5-2-5231,J,5,#6]'</f>
        <v>0</v>
      </c>
      <c r="L455" s="76">
        <f>[1]!'@CTA[8-2-5-5-2-5231,J,5,#6]'</f>
        <v>0</v>
      </c>
      <c r="M455" s="76">
        <f>[1]!'@CTA[8-2-6-5-2-5231,J,5,#6]'</f>
        <v>0</v>
      </c>
      <c r="N455" s="74">
        <f>[1]!'@CTA[8-2-7-5-2-5231,F,5,#6]'</f>
        <v>0</v>
      </c>
      <c r="O455" s="66">
        <f t="shared" si="30"/>
        <v>2200</v>
      </c>
    </row>
    <row r="456" spans="1:15" ht="108" x14ac:dyDescent="0.2">
      <c r="A456" s="67" t="s">
        <v>286</v>
      </c>
      <c r="B456" s="61" t="s">
        <v>152</v>
      </c>
      <c r="C456" s="61" t="s">
        <v>149</v>
      </c>
      <c r="D456" s="62" t="s">
        <v>289</v>
      </c>
      <c r="E456" s="71" t="s">
        <v>264</v>
      </c>
      <c r="F456" s="72">
        <v>5411</v>
      </c>
      <c r="G456" s="73" t="s">
        <v>265</v>
      </c>
      <c r="H456" s="74">
        <f>[1]!'@CTA[8-2-1-5-4-5411,F,5,#6]'</f>
        <v>0</v>
      </c>
      <c r="I456" s="74">
        <f>[1]!'@CTA[8-2-3-5-4-5411,F,5,#6]'</f>
        <v>0</v>
      </c>
      <c r="J456" s="75">
        <f>[1]!'@CTA[8-2-1-5-4-5411,F,5,#6]'+[1]!'@CTA[8-2-3-5-4-5411,F,5,#6]'</f>
        <v>0</v>
      </c>
      <c r="K456" s="76">
        <f>[1]!'@CTA[8-2-4-5-4-5411,J,5,#6]'</f>
        <v>0</v>
      </c>
      <c r="L456" s="76">
        <f>[1]!'@CTA[8-2-5-5-4-5411,J,5,#6]'</f>
        <v>0</v>
      </c>
      <c r="M456" s="76">
        <f>[1]!'@CTA[8-2-6-5-4-5411,J,5,#6]'</f>
        <v>0</v>
      </c>
      <c r="N456" s="74">
        <f>[1]!'@CTA[8-2-7-5-4-5411,F,5,#6]'</f>
        <v>0</v>
      </c>
      <c r="O456" s="66">
        <f t="shared" si="30"/>
        <v>0</v>
      </c>
    </row>
    <row r="457" spans="1:15" ht="108" x14ac:dyDescent="0.2">
      <c r="A457" s="67" t="s">
        <v>286</v>
      </c>
      <c r="B457" s="61" t="s">
        <v>152</v>
      </c>
      <c r="C457" s="61" t="s">
        <v>149</v>
      </c>
      <c r="D457" s="62" t="s">
        <v>289</v>
      </c>
      <c r="E457" s="71" t="s">
        <v>264</v>
      </c>
      <c r="F457" s="72">
        <v>5491</v>
      </c>
      <c r="G457" s="73" t="s">
        <v>266</v>
      </c>
      <c r="H457" s="74">
        <f>[1]!'@CTA[8-2-1-5-4-5491,F,5,#6]'</f>
        <v>3900</v>
      </c>
      <c r="I457" s="74">
        <f>[1]!'@CTA[8-2-3-5-4-5491,F,5,#6]'</f>
        <v>0</v>
      </c>
      <c r="J457" s="75">
        <f>[1]!'@CTA[8-2-1-5-4-5491,F,5,#6]'+[1]!'@CTA[8-2-3-5-4-5491,F,5,#6]'</f>
        <v>3900</v>
      </c>
      <c r="K457" s="76">
        <f>[1]!'@CTA[8-2-4-5-4-5491,J,5,#6]'</f>
        <v>0</v>
      </c>
      <c r="L457" s="76">
        <f>[1]!'@CTA[8-2-5-5-4-5491,J,5,#6]'</f>
        <v>0</v>
      </c>
      <c r="M457" s="76">
        <f>[1]!'@CTA[8-2-6-5-4-5491,J,5,#6]'</f>
        <v>0</v>
      </c>
      <c r="N457" s="74">
        <f>[1]!'@CTA[8-2-7-5-4-5491,F,5,#6]'</f>
        <v>0</v>
      </c>
      <c r="O457" s="66">
        <f t="shared" si="30"/>
        <v>3900</v>
      </c>
    </row>
    <row r="458" spans="1:15" ht="108" x14ac:dyDescent="0.2">
      <c r="A458" s="67" t="s">
        <v>286</v>
      </c>
      <c r="B458" s="61" t="s">
        <v>152</v>
      </c>
      <c r="C458" s="61" t="s">
        <v>149</v>
      </c>
      <c r="D458" s="62" t="s">
        <v>289</v>
      </c>
      <c r="E458" s="71" t="s">
        <v>257</v>
      </c>
      <c r="F458" s="72">
        <v>5631</v>
      </c>
      <c r="G458" s="73" t="s">
        <v>267</v>
      </c>
      <c r="H458" s="74">
        <f>[1]!'@CTA[8-2-1-5-6-5631,F,5,#6]'</f>
        <v>0</v>
      </c>
      <c r="I458" s="74">
        <f>[1]!'@CTA[8-2-3-5-6-5631,F,5,#6]'</f>
        <v>0</v>
      </c>
      <c r="J458" s="75">
        <f>[1]!'@CTA[8-2-1-5-6-5631,F,5,#6]'+[1]!'@CTA[8-2-3-5-6-5631,F,5,#6]'</f>
        <v>0</v>
      </c>
      <c r="K458" s="76">
        <f>[1]!'@CTA[8-2-4-5-6-5631,J,5,#6]'</f>
        <v>0</v>
      </c>
      <c r="L458" s="76">
        <f>[1]!'@CTA[8-2-5-5-6-5631,J,5,#6]'</f>
        <v>0</v>
      </c>
      <c r="M458" s="76">
        <f>[1]!'@CTA[8-2-6-5-6-5631,J,5,#6]'</f>
        <v>0</v>
      </c>
      <c r="N458" s="74">
        <f>[1]!'@CTA[8-2-7-5-6-5631,F,5,#6]'</f>
        <v>0</v>
      </c>
      <c r="O458" s="66">
        <f t="shared" si="30"/>
        <v>0</v>
      </c>
    </row>
    <row r="459" spans="1:15" ht="108" x14ac:dyDescent="0.2">
      <c r="A459" s="67" t="s">
        <v>286</v>
      </c>
      <c r="B459" s="61" t="s">
        <v>152</v>
      </c>
      <c r="C459" s="61" t="s">
        <v>149</v>
      </c>
      <c r="D459" s="62" t="s">
        <v>289</v>
      </c>
      <c r="E459" s="71" t="s">
        <v>257</v>
      </c>
      <c r="F459" s="72">
        <v>5651</v>
      </c>
      <c r="G459" s="73" t="s">
        <v>268</v>
      </c>
      <c r="H459" s="74">
        <f>[1]!'@CTA[8-2-1-5-6-5651,F,5,#6]'</f>
        <v>0</v>
      </c>
      <c r="I459" s="74">
        <f>[1]!'@CTA[8-2-3-5-6-5651,F,5,#6]'</f>
        <v>0</v>
      </c>
      <c r="J459" s="75">
        <f>[1]!'@CTA[8-2-1-5-6-5651,F,5,#6]'+[1]!'@CTA[8-2-3-5-6-5651,F,5,#6]'</f>
        <v>0</v>
      </c>
      <c r="K459" s="76">
        <f>[1]!'@CTA[8-2-4-5-6-5651,J,5,#6]'</f>
        <v>0</v>
      </c>
      <c r="L459" s="76">
        <f>[1]!'@CTA[8-2-5-5-6-5651,J,5,#6]'</f>
        <v>0</v>
      </c>
      <c r="M459" s="76">
        <f>[1]!'@CTA[8-2-6-5-6-5651,J,5,#6]'</f>
        <v>0</v>
      </c>
      <c r="N459" s="74">
        <f>[1]!'@CTA[8-2-7-5-6-5651,F,5,#6]'</f>
        <v>0</v>
      </c>
      <c r="O459" s="66">
        <f t="shared" si="30"/>
        <v>0</v>
      </c>
    </row>
    <row r="460" spans="1:15" ht="108" x14ac:dyDescent="0.2">
      <c r="A460" s="67" t="s">
        <v>286</v>
      </c>
      <c r="B460" s="61" t="s">
        <v>152</v>
      </c>
      <c r="C460" s="61" t="s">
        <v>149</v>
      </c>
      <c r="D460" s="62" t="s">
        <v>289</v>
      </c>
      <c r="E460" s="71" t="s">
        <v>257</v>
      </c>
      <c r="F460" s="72">
        <v>5671</v>
      </c>
      <c r="G460" s="73" t="s">
        <v>269</v>
      </c>
      <c r="H460" s="74">
        <f>[1]!'@CTA[8-2-1-5-6-5671,F,5,#6]'</f>
        <v>0</v>
      </c>
      <c r="I460" s="74">
        <f>[1]!'@CTA[8-2-3-5-6-5671,F,5,#6]'</f>
        <v>0</v>
      </c>
      <c r="J460" s="75">
        <f>[1]!'@CTA[8-2-1-5-6-5671,F,5,#6]'+[1]!'@CTA[8-2-3-5-6-5671,F,5,#6]'</f>
        <v>0</v>
      </c>
      <c r="K460" s="76">
        <f>[1]!'@CTA[8-2-4-5-6-5671,J,5,#6]'</f>
        <v>0</v>
      </c>
      <c r="L460" s="76">
        <f>[1]!'@CTA[8-2-5-5-6-5671,J,5,#6]'</f>
        <v>0</v>
      </c>
      <c r="M460" s="76">
        <f>[1]!'@CTA[8-2-6-5-6-5671,J,5,#6]'</f>
        <v>0</v>
      </c>
      <c r="N460" s="74">
        <f>[1]!'@CTA[8-2-7-5-6-5671,F,5,#6]'</f>
        <v>0</v>
      </c>
      <c r="O460" s="66">
        <f t="shared" si="30"/>
        <v>0</v>
      </c>
    </row>
    <row r="461" spans="1:15" ht="108" x14ac:dyDescent="0.2">
      <c r="A461" s="67" t="s">
        <v>286</v>
      </c>
      <c r="B461" s="61" t="s">
        <v>152</v>
      </c>
      <c r="C461" s="61" t="s">
        <v>149</v>
      </c>
      <c r="D461" s="62" t="s">
        <v>289</v>
      </c>
      <c r="E461" s="71" t="s">
        <v>270</v>
      </c>
      <c r="F461" s="72">
        <v>5911</v>
      </c>
      <c r="G461" s="73" t="s">
        <v>271</v>
      </c>
      <c r="H461" s="74">
        <f>[1]!'@CTA[8-2-1-5-9-5911,F,5,#6]'</f>
        <v>0</v>
      </c>
      <c r="I461" s="74">
        <f>[1]!'@CTA[8-2-3-5-9-5911,F,5,#6]'</f>
        <v>0</v>
      </c>
      <c r="J461" s="75">
        <f>[1]!'@CTA[8-2-1-5-9-5911,F,5,#6]'+[1]!'@CTA[8-2-3-5-9-5911,F,5,#6]'</f>
        <v>0</v>
      </c>
      <c r="K461" s="76">
        <f>[1]!'@CTA[8-2-4-5-9-5911,J,5,#6]'</f>
        <v>0</v>
      </c>
      <c r="L461" s="76">
        <f>[1]!'@CTA[8-2-5-5-9-5911,J,5,#6]'</f>
        <v>0</v>
      </c>
      <c r="M461" s="76">
        <f>[1]!'@CTA[8-2-6-5-9-5911,J,5,#6]'</f>
        <v>0</v>
      </c>
      <c r="N461" s="74">
        <f>[1]!'@CTA[8-2-7-5-9-5911,F,5,#6]'</f>
        <v>0</v>
      </c>
      <c r="O461" s="66">
        <f t="shared" si="30"/>
        <v>0</v>
      </c>
    </row>
    <row r="462" spans="1:15" ht="108" x14ac:dyDescent="0.2">
      <c r="A462" s="67" t="s">
        <v>286</v>
      </c>
      <c r="B462" s="61"/>
      <c r="C462" s="61" t="s">
        <v>149</v>
      </c>
      <c r="D462" s="62" t="s">
        <v>289</v>
      </c>
      <c r="E462" s="61"/>
      <c r="F462" s="63">
        <v>6000</v>
      </c>
      <c r="G462" s="68" t="s">
        <v>274</v>
      </c>
      <c r="H462" s="69">
        <f t="shared" ref="H462:N462" si="31">SUBTOTAL(9,H463:H466)</f>
        <v>0</v>
      </c>
      <c r="I462" s="69">
        <f t="shared" si="31"/>
        <v>0</v>
      </c>
      <c r="J462" s="69">
        <f t="shared" si="31"/>
        <v>0</v>
      </c>
      <c r="K462" s="70">
        <f t="shared" si="31"/>
        <v>0</v>
      </c>
      <c r="L462" s="70">
        <f t="shared" si="31"/>
        <v>0</v>
      </c>
      <c r="M462" s="70">
        <f t="shared" si="31"/>
        <v>0</v>
      </c>
      <c r="N462" s="69">
        <f t="shared" si="31"/>
        <v>0</v>
      </c>
      <c r="O462" s="66">
        <f t="shared" si="30"/>
        <v>0</v>
      </c>
    </row>
    <row r="463" spans="1:15" ht="108" x14ac:dyDescent="0.2">
      <c r="A463" s="67" t="s">
        <v>286</v>
      </c>
      <c r="B463" s="61" t="s">
        <v>275</v>
      </c>
      <c r="C463" s="61" t="s">
        <v>149</v>
      </c>
      <c r="D463" s="62" t="s">
        <v>289</v>
      </c>
      <c r="E463" s="71" t="s">
        <v>276</v>
      </c>
      <c r="F463" s="72">
        <v>6131</v>
      </c>
      <c r="G463" s="78" t="s">
        <v>277</v>
      </c>
      <c r="H463" s="74">
        <f>[1]!'@CTA[8-2-1-6-1-6131,F,5,#6]'</f>
        <v>0</v>
      </c>
      <c r="I463" s="74">
        <f>[1]!'@CTA[8-2-3-6-1-6131,F,5,#6]'</f>
        <v>0</v>
      </c>
      <c r="J463" s="75">
        <f>[1]!'@CTA[8-2-1-6-1-6131,F,5,#6]'+[1]!'@CTA[8-2-3-6-1-6131,F,5,#6]'</f>
        <v>0</v>
      </c>
      <c r="K463" s="76">
        <f>[1]!'@CTA[8-2-4-6-1-6131,J,5,#6]'</f>
        <v>0</v>
      </c>
      <c r="L463" s="76">
        <f>[1]!'@CTA[8-2-5-6-1-6131,J,5,#6]'</f>
        <v>0</v>
      </c>
      <c r="M463" s="76">
        <f>[1]!'@CTA[8-2-6-6-1-6131,J,5,#6]'</f>
        <v>0</v>
      </c>
      <c r="N463" s="74">
        <f>[1]!'@CTA[8-2-7-6-1-6131,F,5,#6]'</f>
        <v>0</v>
      </c>
      <c r="O463" s="66">
        <f t="shared" si="30"/>
        <v>0</v>
      </c>
    </row>
    <row r="464" spans="1:15" ht="108" x14ac:dyDescent="0.2">
      <c r="A464" s="67" t="s">
        <v>286</v>
      </c>
      <c r="B464" s="61" t="s">
        <v>275</v>
      </c>
      <c r="C464" s="61" t="s">
        <v>149</v>
      </c>
      <c r="D464" s="62" t="s">
        <v>289</v>
      </c>
      <c r="E464" s="71" t="s">
        <v>276</v>
      </c>
      <c r="F464" s="72">
        <v>6161</v>
      </c>
      <c r="G464" s="78" t="s">
        <v>278</v>
      </c>
      <c r="H464" s="74">
        <f>[1]!'@CTA[8-2-1-6-1-6161,F,5,#6]'</f>
        <v>0</v>
      </c>
      <c r="I464" s="74">
        <f>[1]!'@CTA[8-2-3-6-1-6161,F,5,#6]'</f>
        <v>0</v>
      </c>
      <c r="J464" s="75">
        <f>[1]!'@CTA[8-2-1-6-1-6161,F,5,#6]'+[1]!'@CTA[8-2-3-6-1-6161,F,5,#6]'</f>
        <v>0</v>
      </c>
      <c r="K464" s="76">
        <f>[1]!'@CTA[8-2-4-6-1-6161,J,5,#6]'</f>
        <v>0</v>
      </c>
      <c r="L464" s="76">
        <f>[1]!'@CTA[8-2-5-6-1-6161,J,5,#6]'</f>
        <v>0</v>
      </c>
      <c r="M464" s="76">
        <f>[1]!'@CTA[8-2-6-6-1-6161,J,5,#6]'</f>
        <v>0</v>
      </c>
      <c r="N464" s="74">
        <f>[1]!'@CTA[8-2-7-6-1-6161,F,5,#6]'</f>
        <v>0</v>
      </c>
      <c r="O464" s="66">
        <f t="shared" si="30"/>
        <v>0</v>
      </c>
    </row>
    <row r="465" spans="1:15" ht="108" x14ac:dyDescent="0.2">
      <c r="A465" s="67" t="s">
        <v>286</v>
      </c>
      <c r="B465" s="61" t="s">
        <v>275</v>
      </c>
      <c r="C465" s="61" t="s">
        <v>149</v>
      </c>
      <c r="D465" s="62" t="s">
        <v>289</v>
      </c>
      <c r="E465" s="71" t="s">
        <v>276</v>
      </c>
      <c r="F465" s="72">
        <v>6162</v>
      </c>
      <c r="G465" s="78" t="s">
        <v>279</v>
      </c>
      <c r="H465" s="74">
        <f>[1]!'@CTA[8-2-1-6-1-6162,F,5,#6]'</f>
        <v>0</v>
      </c>
      <c r="I465" s="74">
        <f>[1]!'@CTA[8-2-3-6-1-6162,F,5,#6]'</f>
        <v>0</v>
      </c>
      <c r="J465" s="75">
        <f>[1]!'@CTA[8-2-1-6-1-6162,F,5,#6]'+[1]!'@CTA[8-2-3-6-1-6162,F,5,#6]'</f>
        <v>0</v>
      </c>
      <c r="K465" s="76">
        <f>[1]!'@CTA[8-2-4-6-1-6162,J,5,#6]'</f>
        <v>0</v>
      </c>
      <c r="L465" s="76">
        <f>[1]!'@CTA[8-2-5-6-1-6162,J,5,#6]'</f>
        <v>0</v>
      </c>
      <c r="M465" s="76">
        <f>[1]!'@CTA[8-2-6-6-1-6162,J,5,#6]'</f>
        <v>0</v>
      </c>
      <c r="N465" s="74">
        <f>[1]!'@CTA[8-2-7-6-1-6162,F,5,#6]'</f>
        <v>0</v>
      </c>
      <c r="O465" s="66">
        <f t="shared" si="30"/>
        <v>0</v>
      </c>
    </row>
    <row r="466" spans="1:15" ht="108" x14ac:dyDescent="0.2">
      <c r="A466" s="67" t="s">
        <v>286</v>
      </c>
      <c r="B466" s="61" t="s">
        <v>275</v>
      </c>
      <c r="C466" s="61" t="s">
        <v>149</v>
      </c>
      <c r="D466" s="62" t="s">
        <v>289</v>
      </c>
      <c r="E466" s="71" t="s">
        <v>276</v>
      </c>
      <c r="F466" s="72">
        <v>6171</v>
      </c>
      <c r="G466" s="78" t="s">
        <v>280</v>
      </c>
      <c r="H466" s="74">
        <f>[1]!'@CTA[8-2-1-6-1-6171,F,5,#6]'</f>
        <v>0</v>
      </c>
      <c r="I466" s="74">
        <f>[1]!'@CTA[8-2-3-6-1-6171,F,5,#6]'</f>
        <v>0</v>
      </c>
      <c r="J466" s="75">
        <f>[1]!'@CTA[8-2-1-6-1-6171,F,5,#6]'+[1]!'@CTA[8-2-3-6-1-6171,F,5,#6]'</f>
        <v>0</v>
      </c>
      <c r="K466" s="76">
        <f>[1]!'@CTA[8-2-4-6-1-6171,J,5,#6]'</f>
        <v>0</v>
      </c>
      <c r="L466" s="76">
        <f>[1]!'@CTA[8-2-5-6-1-6171,J,5,#6]'</f>
        <v>0</v>
      </c>
      <c r="M466" s="76">
        <f>[1]!'@CTA[8-2-6-6-1-6171,J,5,#6]'</f>
        <v>0</v>
      </c>
      <c r="N466" s="74">
        <f>[1]!'@CTA[8-2-7-6-1-6171,F,5,#6]'</f>
        <v>0</v>
      </c>
      <c r="O466" s="66">
        <f t="shared" si="30"/>
        <v>0</v>
      </c>
    </row>
    <row r="467" spans="1:15" ht="12" x14ac:dyDescent="0.2">
      <c r="A467" s="60"/>
      <c r="B467" s="61"/>
      <c r="C467" s="61"/>
      <c r="D467" s="62"/>
      <c r="E467" s="61"/>
      <c r="F467" s="63"/>
      <c r="G467" s="64" t="s">
        <v>290</v>
      </c>
      <c r="H467" s="79">
        <f t="shared" ref="H467:N467" si="32">SUBTOTAL(9,H468:H584)</f>
        <v>1047753</v>
      </c>
      <c r="I467" s="79">
        <f t="shared" si="32"/>
        <v>13726.249999999985</v>
      </c>
      <c r="J467" s="79">
        <f t="shared" si="32"/>
        <v>1061479.25</v>
      </c>
      <c r="K467" s="79">
        <f t="shared" si="32"/>
        <v>187669.37999999998</v>
      </c>
      <c r="L467" s="79">
        <f t="shared" si="32"/>
        <v>211728.59999999998</v>
      </c>
      <c r="M467" s="79">
        <f t="shared" si="32"/>
        <v>187669.37999999998</v>
      </c>
      <c r="N467" s="79">
        <f t="shared" si="32"/>
        <v>1098.9700000000701</v>
      </c>
      <c r="O467" s="66">
        <f t="shared" si="30"/>
        <v>849750.65</v>
      </c>
    </row>
    <row r="468" spans="1:15" ht="168" x14ac:dyDescent="0.2">
      <c r="A468" s="67" t="s">
        <v>291</v>
      </c>
      <c r="B468" s="61"/>
      <c r="C468" s="61" t="s">
        <v>149</v>
      </c>
      <c r="D468" s="62" t="s">
        <v>292</v>
      </c>
      <c r="E468" s="61"/>
      <c r="F468" s="63">
        <v>1000</v>
      </c>
      <c r="G468" s="68" t="s">
        <v>151</v>
      </c>
      <c r="H468" s="69">
        <f t="shared" ref="H468:N468" si="33">SUBTOTAL(9,H469:H487)</f>
        <v>565332</v>
      </c>
      <c r="I468" s="69">
        <f t="shared" si="33"/>
        <v>12370.23</v>
      </c>
      <c r="J468" s="69">
        <f t="shared" si="33"/>
        <v>577702.23</v>
      </c>
      <c r="K468" s="70">
        <f t="shared" si="33"/>
        <v>108730.98999999999</v>
      </c>
      <c r="L468" s="70">
        <f t="shared" si="33"/>
        <v>108730.98999999999</v>
      </c>
      <c r="M468" s="70">
        <f t="shared" si="33"/>
        <v>108730.98999999999</v>
      </c>
      <c r="N468" s="69">
        <f t="shared" si="33"/>
        <v>98184.870000000024</v>
      </c>
      <c r="O468" s="66">
        <f t="shared" si="30"/>
        <v>468971.24</v>
      </c>
    </row>
    <row r="469" spans="1:15" ht="168" x14ac:dyDescent="0.2">
      <c r="A469" s="67" t="s">
        <v>291</v>
      </c>
      <c r="B469" s="61" t="s">
        <v>152</v>
      </c>
      <c r="C469" s="61" t="s">
        <v>149</v>
      </c>
      <c r="D469" s="62" t="s">
        <v>292</v>
      </c>
      <c r="E469" s="71" t="s">
        <v>153</v>
      </c>
      <c r="F469" s="72">
        <v>1131</v>
      </c>
      <c r="G469" s="73" t="s">
        <v>154</v>
      </c>
      <c r="H469" s="74">
        <f>[1]!'@CTA[8-2-1-1-1-1131,F,8,#6]'</f>
        <v>368999</v>
      </c>
      <c r="I469" s="74">
        <f>[1]!'@CTA[8-2-3-1-1-1131,F,8,#6]'</f>
        <v>0</v>
      </c>
      <c r="J469" s="75">
        <f>[1]!'@CTA[8-2-1-1-1-1131,F,8,#6]'+[1]!'@CTA[8-2-3-1-1-1131,F,8,#6]'</f>
        <v>368999</v>
      </c>
      <c r="K469" s="76">
        <f>[1]!'@CTA[8-2-4-1-1-1131,J,8,#6]'</f>
        <v>68994.81</v>
      </c>
      <c r="L469" s="76">
        <f>[1]!'@CTA[8-2-5-1-1-1131,J,8,#6]'</f>
        <v>68994.81</v>
      </c>
      <c r="M469" s="76">
        <f>[1]!'@CTA[8-2-6-1-1-1131,J,8,#6]'</f>
        <v>68994.81</v>
      </c>
      <c r="N469" s="74">
        <f>[1]!'@CTA[8-2-7-1-1-1131,F,8,#6]'</f>
        <v>63726.190000000031</v>
      </c>
      <c r="O469" s="66">
        <f t="shared" si="30"/>
        <v>300004.19</v>
      </c>
    </row>
    <row r="470" spans="1:15" ht="168" x14ac:dyDescent="0.2">
      <c r="A470" s="67" t="s">
        <v>291</v>
      </c>
      <c r="B470" s="61" t="s">
        <v>152</v>
      </c>
      <c r="C470" s="61" t="s">
        <v>149</v>
      </c>
      <c r="D470" s="62" t="s">
        <v>292</v>
      </c>
      <c r="E470" s="71" t="s">
        <v>153</v>
      </c>
      <c r="F470" s="72">
        <v>1211</v>
      </c>
      <c r="G470" s="73" t="s">
        <v>156</v>
      </c>
      <c r="H470" s="74">
        <f>[1]!'@CTA[8-2-1-1-2-1211,F,8,#6]'</f>
        <v>0</v>
      </c>
      <c r="I470" s="74">
        <f>[1]!'@CTA[8-2-3-1-2-1211,F,8,#6]'</f>
        <v>0</v>
      </c>
      <c r="J470" s="75">
        <f>[1]!'@CTA[8-2-1-1-2-1211,F,8,#6]'+[1]!'@CTA[8-2-3-1-2-1211,F,8,#6]'</f>
        <v>0</v>
      </c>
      <c r="K470" s="76">
        <f>[1]!'@CTA[8-2-4-1-2-1211,J,8,#6]'</f>
        <v>0</v>
      </c>
      <c r="L470" s="76">
        <f>[1]!'@CTA[8-2-5-1-2-1211,J,8,#6]'</f>
        <v>0</v>
      </c>
      <c r="M470" s="76">
        <f>[1]!'@CTA[8-2-6-1-2-1211,J,8,#6]'</f>
        <v>0</v>
      </c>
      <c r="N470" s="74">
        <f>[1]!'@CTA[8-2-7-1-2-1211,F,8,#6]'</f>
        <v>0</v>
      </c>
      <c r="O470" s="66">
        <f t="shared" si="30"/>
        <v>0</v>
      </c>
    </row>
    <row r="471" spans="1:15" ht="168" x14ac:dyDescent="0.2">
      <c r="A471" s="67" t="s">
        <v>291</v>
      </c>
      <c r="B471" s="61" t="s">
        <v>152</v>
      </c>
      <c r="C471" s="61" t="s">
        <v>149</v>
      </c>
      <c r="D471" s="62" t="s">
        <v>292</v>
      </c>
      <c r="E471" s="71" t="s">
        <v>153</v>
      </c>
      <c r="F471" s="72">
        <v>1221</v>
      </c>
      <c r="G471" s="73" t="s">
        <v>155</v>
      </c>
      <c r="H471" s="74">
        <f>[1]!'@CTA[8-2-1-1-2-1221,F,8,#6]'</f>
        <v>0</v>
      </c>
      <c r="I471" s="74">
        <f>[1]!'@CTA[8-2-3-1-2-1221,F,8,#6]'</f>
        <v>0</v>
      </c>
      <c r="J471" s="75">
        <f>[1]!'@CTA[8-2-1-1-2-1221,F,8,#6]'+[1]!'@CTA[8-2-3-1-2-1221,F,8,#6]'</f>
        <v>0</v>
      </c>
      <c r="K471" s="76">
        <f>[1]!'@CTA[8-2-4-1-2-1221,J,8,#6]'</f>
        <v>0</v>
      </c>
      <c r="L471" s="76">
        <f>[1]!'@CTA[8-2-5-1-2-1221,J,8,#6]'</f>
        <v>0</v>
      </c>
      <c r="M471" s="76">
        <f>[1]!'@CTA[8-2-6-1-2-1221,J,8,#6]'</f>
        <v>0</v>
      </c>
      <c r="N471" s="74">
        <f>[1]!'@CTA[8-2-7-1-2-1221,F,8,#6]'</f>
        <v>0</v>
      </c>
      <c r="O471" s="66">
        <f t="shared" si="30"/>
        <v>0</v>
      </c>
    </row>
    <row r="472" spans="1:15" ht="168" x14ac:dyDescent="0.2">
      <c r="A472" s="67" t="s">
        <v>291</v>
      </c>
      <c r="B472" s="61" t="s">
        <v>152</v>
      </c>
      <c r="C472" s="61" t="s">
        <v>149</v>
      </c>
      <c r="D472" s="62" t="s">
        <v>292</v>
      </c>
      <c r="E472" s="71" t="s">
        <v>153</v>
      </c>
      <c r="F472" s="72">
        <v>1311</v>
      </c>
      <c r="G472" s="73" t="s">
        <v>157</v>
      </c>
      <c r="H472" s="74">
        <f>[1]!'@CTA[8-2-1-1-3-1311,F,8,#6]'</f>
        <v>0</v>
      </c>
      <c r="I472" s="74">
        <f>[1]!'@CTA[8-2-3-1-3-1311,F,8,#6]'</f>
        <v>0</v>
      </c>
      <c r="J472" s="75">
        <f>[1]!'@CTA[8-2-1-1-3-1311,F,8,#6]'+[1]!'@CTA[8-2-3-1-3-1311,F,8,#6]'</f>
        <v>0</v>
      </c>
      <c r="K472" s="76">
        <f>[1]!'@CTA[8-2-4-1-3-1311,J,8,#6]'</f>
        <v>0</v>
      </c>
      <c r="L472" s="76">
        <f>[1]!'@CTA[8-2-5-1-3-1311,J,8,#6]'</f>
        <v>0</v>
      </c>
      <c r="M472" s="76">
        <f>[1]!'@CTA[8-2-6-1-3-1311,J,8,#6]'</f>
        <v>0</v>
      </c>
      <c r="N472" s="74">
        <f>[1]!'@CTA[8-2-7-1-3-1311,F,8,#6]'</f>
        <v>0</v>
      </c>
      <c r="O472" s="66">
        <f t="shared" si="30"/>
        <v>0</v>
      </c>
    </row>
    <row r="473" spans="1:15" ht="168" x14ac:dyDescent="0.2">
      <c r="A473" s="67" t="s">
        <v>291</v>
      </c>
      <c r="B473" s="61" t="s">
        <v>152</v>
      </c>
      <c r="C473" s="61" t="s">
        <v>149</v>
      </c>
      <c r="D473" s="62" t="s">
        <v>292</v>
      </c>
      <c r="E473" s="71" t="s">
        <v>153</v>
      </c>
      <c r="F473" s="72">
        <v>1321</v>
      </c>
      <c r="G473" s="73" t="s">
        <v>158</v>
      </c>
      <c r="H473" s="74">
        <f>[1]!'@CTA[8-2-1-1-3-1321,F,8,#6]'</f>
        <v>2116</v>
      </c>
      <c r="I473" s="74">
        <f>[1]!'@CTA[8-2-3-1-3-1321,F,8,#6]'</f>
        <v>-1.1368683772161603E-13</v>
      </c>
      <c r="J473" s="75">
        <f>[1]!'@CTA[8-2-1-1-3-1321,F,8,#6]'+[1]!'@CTA[8-2-3-1-3-1321,F,8,#6]'</f>
        <v>2116</v>
      </c>
      <c r="K473" s="76">
        <f>[1]!'@CTA[8-2-4-1-3-1321,J,8,#6]'</f>
        <v>141.62</v>
      </c>
      <c r="L473" s="76">
        <f>[1]!'@CTA[8-2-5-1-3-1321,J,8,#6]'</f>
        <v>141.62</v>
      </c>
      <c r="M473" s="76">
        <f>[1]!'@CTA[8-2-6-1-3-1321,J,8,#6]'</f>
        <v>141.62</v>
      </c>
      <c r="N473" s="74">
        <f>[1]!'@CTA[8-2-7-1-3-1321,F,8,#6]'</f>
        <v>141.61999999999978</v>
      </c>
      <c r="O473" s="66">
        <f t="shared" si="30"/>
        <v>1974.38</v>
      </c>
    </row>
    <row r="474" spans="1:15" ht="168" x14ac:dyDescent="0.2">
      <c r="A474" s="67" t="s">
        <v>291</v>
      </c>
      <c r="B474" s="61" t="s">
        <v>152</v>
      </c>
      <c r="C474" s="61" t="s">
        <v>149</v>
      </c>
      <c r="D474" s="62" t="s">
        <v>292</v>
      </c>
      <c r="E474" s="71" t="s">
        <v>153</v>
      </c>
      <c r="F474" s="72">
        <v>1322</v>
      </c>
      <c r="G474" s="73" t="s">
        <v>159</v>
      </c>
      <c r="H474" s="74">
        <f>[1]!'@CTA[8-2-1-1-3-1322,F,8,#6]'</f>
        <v>10320</v>
      </c>
      <c r="I474" s="74">
        <f>[1]!'@CTA[8-2-3-1-3-1322,F,8,#6]'</f>
        <v>0</v>
      </c>
      <c r="J474" s="75">
        <f>[1]!'@CTA[8-2-1-1-3-1322,F,8,#6]'+[1]!'@CTA[8-2-3-1-3-1322,F,8,#6]'</f>
        <v>10320</v>
      </c>
      <c r="K474" s="76">
        <f>[1]!'@CTA[8-2-4-1-3-1322,J,8,#6]'</f>
        <v>3125.61</v>
      </c>
      <c r="L474" s="76">
        <f>[1]!'@CTA[8-2-5-1-3-1322,J,8,#6]'</f>
        <v>3125.61</v>
      </c>
      <c r="M474" s="76">
        <f>[1]!'@CTA[8-2-6-1-3-1322,J,8,#6]'</f>
        <v>3125.61</v>
      </c>
      <c r="N474" s="74">
        <f>[1]!'@CTA[8-2-7-1-3-1322,F,8,#6]'</f>
        <v>3125.61</v>
      </c>
      <c r="O474" s="66">
        <f t="shared" si="30"/>
        <v>7194.3899999999994</v>
      </c>
    </row>
    <row r="475" spans="1:15" ht="168" x14ac:dyDescent="0.2">
      <c r="A475" s="67" t="s">
        <v>291</v>
      </c>
      <c r="B475" s="61" t="s">
        <v>152</v>
      </c>
      <c r="C475" s="61" t="s">
        <v>149</v>
      </c>
      <c r="D475" s="62" t="s">
        <v>292</v>
      </c>
      <c r="E475" s="71" t="s">
        <v>153</v>
      </c>
      <c r="F475" s="72">
        <v>1323</v>
      </c>
      <c r="G475" s="73" t="s">
        <v>160</v>
      </c>
      <c r="H475" s="74">
        <f>[1]!'@CTA[8-2-1-1-3-1323,F,8,#6]'</f>
        <v>41525</v>
      </c>
      <c r="I475" s="74">
        <f>[1]!'@CTA[8-2-3-1-3-1323,F,8,#6]'</f>
        <v>0</v>
      </c>
      <c r="J475" s="75">
        <f>[1]!'@CTA[8-2-1-1-3-1323,F,8,#6]'+[1]!'@CTA[8-2-3-1-3-1323,F,8,#6]'</f>
        <v>41525</v>
      </c>
      <c r="K475" s="76">
        <f>[1]!'@CTA[8-2-4-1-3-1323,J,8,#6]'</f>
        <v>0</v>
      </c>
      <c r="L475" s="76">
        <f>[1]!'@CTA[8-2-5-1-3-1323,J,8,#6]'</f>
        <v>0</v>
      </c>
      <c r="M475" s="76">
        <f>[1]!'@CTA[8-2-6-1-3-1323,J,8,#6]'</f>
        <v>0</v>
      </c>
      <c r="N475" s="74">
        <f>[1]!'@CTA[8-2-7-1-3-1323,F,8,#6]'</f>
        <v>7.2759576141834259E-12</v>
      </c>
      <c r="O475" s="66">
        <f t="shared" si="30"/>
        <v>41525</v>
      </c>
    </row>
    <row r="476" spans="1:15" ht="168" x14ac:dyDescent="0.2">
      <c r="A476" s="67" t="s">
        <v>291</v>
      </c>
      <c r="B476" s="61" t="s">
        <v>152</v>
      </c>
      <c r="C476" s="61" t="s">
        <v>149</v>
      </c>
      <c r="D476" s="62" t="s">
        <v>292</v>
      </c>
      <c r="E476" s="71" t="s">
        <v>153</v>
      </c>
      <c r="F476" s="72">
        <v>1331</v>
      </c>
      <c r="G476" s="73" t="s">
        <v>161</v>
      </c>
      <c r="H476" s="74">
        <f>[1]!'@CTA[8-2-1-1-3-1331,F,8,#6]'</f>
        <v>0</v>
      </c>
      <c r="I476" s="74">
        <f>[1]!'@CTA[8-2-3-1-3-1331,F,8,#6]'</f>
        <v>0</v>
      </c>
      <c r="J476" s="75">
        <f>[1]!'@CTA[8-2-1-1-3-1331,F,8,#6]'+[1]!'@CTA[8-2-3-1-3-1331,F,8,#6]'</f>
        <v>0</v>
      </c>
      <c r="K476" s="76">
        <f>[1]!'@CTA[8-2-4-1-3-1331,J,8,#6]'</f>
        <v>0</v>
      </c>
      <c r="L476" s="76">
        <f>[1]!'@CTA[8-2-5-1-3-1331,J,8,#6]'</f>
        <v>0</v>
      </c>
      <c r="M476" s="76">
        <f>[1]!'@CTA[8-2-6-1-3-1331,J,8,#6]'</f>
        <v>0</v>
      </c>
      <c r="N476" s="74">
        <f>[1]!'@CTA[8-2-7-1-3-1331,F,8,#6]'</f>
        <v>0</v>
      </c>
      <c r="O476" s="66">
        <f t="shared" si="30"/>
        <v>0</v>
      </c>
    </row>
    <row r="477" spans="1:15" ht="168" x14ac:dyDescent="0.2">
      <c r="A477" s="67" t="s">
        <v>291</v>
      </c>
      <c r="B477" s="61" t="s">
        <v>152</v>
      </c>
      <c r="C477" s="61" t="s">
        <v>149</v>
      </c>
      <c r="D477" s="62" t="s">
        <v>292</v>
      </c>
      <c r="E477" s="71" t="s">
        <v>153</v>
      </c>
      <c r="F477" s="72">
        <v>1341</v>
      </c>
      <c r="G477" s="73" t="s">
        <v>162</v>
      </c>
      <c r="H477" s="74">
        <f>[1]!'@CTA[8-2-1-1-3-1341,F,8,#6]'</f>
        <v>5166</v>
      </c>
      <c r="I477" s="74">
        <f>[1]!'@CTA[8-2-3-1-3-1341,F,8,#6]'</f>
        <v>0</v>
      </c>
      <c r="J477" s="75">
        <f>[1]!'@CTA[8-2-1-1-3-1341,F,8,#6]'+[1]!'@CTA[8-2-3-1-3-1341,F,8,#6]'</f>
        <v>5166</v>
      </c>
      <c r="K477" s="76">
        <f>[1]!'@CTA[8-2-4-1-3-1341,J,8,#6]'</f>
        <v>0</v>
      </c>
      <c r="L477" s="76">
        <f>[1]!'@CTA[8-2-5-1-3-1341,J,8,#6]'</f>
        <v>0</v>
      </c>
      <c r="M477" s="76">
        <f>[1]!'@CTA[8-2-6-1-3-1341,J,8,#6]'</f>
        <v>0</v>
      </c>
      <c r="N477" s="74">
        <f>[1]!'@CTA[8-2-7-1-3-1341,F,8,#6]'</f>
        <v>0</v>
      </c>
      <c r="O477" s="66">
        <f t="shared" si="30"/>
        <v>5166</v>
      </c>
    </row>
    <row r="478" spans="1:15" ht="168" x14ac:dyDescent="0.2">
      <c r="A478" s="67" t="s">
        <v>291</v>
      </c>
      <c r="B478" s="61" t="s">
        <v>163</v>
      </c>
      <c r="C478" s="61" t="s">
        <v>149</v>
      </c>
      <c r="D478" s="62" t="s">
        <v>292</v>
      </c>
      <c r="E478" s="71" t="s">
        <v>164</v>
      </c>
      <c r="F478" s="72">
        <v>1411</v>
      </c>
      <c r="G478" s="73" t="s">
        <v>165</v>
      </c>
      <c r="H478" s="74">
        <f>[1]!'@CTA[8-2-1-1-4-1411,F,8,#6]'</f>
        <v>27844</v>
      </c>
      <c r="I478" s="74">
        <f>[1]!'@CTA[8-2-3-1-4-1411,F,8,#6]'</f>
        <v>2636.89</v>
      </c>
      <c r="J478" s="75">
        <f>[1]!'@CTA[8-2-1-1-4-1411,F,8,#6]'+[1]!'@CTA[8-2-3-1-4-1411,F,8,#6]'</f>
        <v>30480.89</v>
      </c>
      <c r="K478" s="76">
        <f>[1]!'@CTA[8-2-4-1-4-1411,J,8,#6]'</f>
        <v>8223.2199999999993</v>
      </c>
      <c r="L478" s="76">
        <f>[1]!'@CTA[8-2-5-1-4-1411,J,8,#6]'</f>
        <v>8223.2199999999993</v>
      </c>
      <c r="M478" s="76">
        <f>[1]!'@CTA[8-2-6-1-4-1411,J,8,#6]'</f>
        <v>8223.2199999999993</v>
      </c>
      <c r="N478" s="74">
        <f>[1]!'@CTA[8-2-7-1-4-1411,F,8,#6]'</f>
        <v>5528.8700000000026</v>
      </c>
      <c r="O478" s="66">
        <f t="shared" si="30"/>
        <v>22257.67</v>
      </c>
    </row>
    <row r="479" spans="1:15" ht="168" x14ac:dyDescent="0.2">
      <c r="A479" s="67" t="s">
        <v>291</v>
      </c>
      <c r="B479" s="61" t="s">
        <v>163</v>
      </c>
      <c r="C479" s="61" t="s">
        <v>149</v>
      </c>
      <c r="D479" s="62" t="s">
        <v>292</v>
      </c>
      <c r="E479" s="71" t="s">
        <v>164</v>
      </c>
      <c r="F479" s="72">
        <v>1421</v>
      </c>
      <c r="G479" s="73" t="s">
        <v>166</v>
      </c>
      <c r="H479" s="74">
        <f>[1]!'@CTA[8-2-1-1-4-1421,F,8,#6]'</f>
        <v>10519</v>
      </c>
      <c r="I479" s="74">
        <f>[1]!'@CTA[8-2-3-1-4-1421,F,8,#6]'</f>
        <v>4828.13</v>
      </c>
      <c r="J479" s="75">
        <f>[1]!'@CTA[8-2-1-1-4-1421,F,8,#6]'+[1]!'@CTA[8-2-3-1-4-1421,F,8,#6]'</f>
        <v>15347.130000000001</v>
      </c>
      <c r="K479" s="76">
        <f>[1]!'@CTA[8-2-4-1-4-1421,J,8,#6]'</f>
        <v>3183.7</v>
      </c>
      <c r="L479" s="76">
        <f>[1]!'@CTA[8-2-5-1-4-1421,J,8,#6]'</f>
        <v>3183.7</v>
      </c>
      <c r="M479" s="76">
        <f>[1]!'@CTA[8-2-6-1-4-1421,J,8,#6]'</f>
        <v>3183.7</v>
      </c>
      <c r="N479" s="74">
        <f>[1]!'@CTA[8-2-7-1-4-1421,F,8,#6]'</f>
        <v>3183.699999999998</v>
      </c>
      <c r="O479" s="66">
        <f t="shared" si="30"/>
        <v>12163.43</v>
      </c>
    </row>
    <row r="480" spans="1:15" ht="168" x14ac:dyDescent="0.2">
      <c r="A480" s="67" t="s">
        <v>291</v>
      </c>
      <c r="B480" s="61" t="s">
        <v>163</v>
      </c>
      <c r="C480" s="61" t="s">
        <v>149</v>
      </c>
      <c r="D480" s="62" t="s">
        <v>292</v>
      </c>
      <c r="E480" s="71" t="s">
        <v>164</v>
      </c>
      <c r="F480" s="72">
        <v>1431</v>
      </c>
      <c r="G480" s="73" t="s">
        <v>167</v>
      </c>
      <c r="H480" s="74">
        <f>[1]!'@CTA[8-2-1-1-4-1431,F,8,#6]'</f>
        <v>10834</v>
      </c>
      <c r="I480" s="74">
        <f>[1]!'@CTA[8-2-3-1-4-1431,F,8,#6]'</f>
        <v>4905.21</v>
      </c>
      <c r="J480" s="75">
        <f>[1]!'@CTA[8-2-1-1-4-1431,F,8,#6]'+[1]!'@CTA[8-2-3-1-4-1431,F,8,#6]'</f>
        <v>15739.21</v>
      </c>
      <c r="K480" s="76">
        <f>[1]!'@CTA[8-2-4-1-4-1431,J,8,#6]'</f>
        <v>3279.21</v>
      </c>
      <c r="L480" s="76">
        <f>[1]!'@CTA[8-2-5-1-4-1431,J,8,#6]'</f>
        <v>3279.21</v>
      </c>
      <c r="M480" s="76">
        <f>[1]!'@CTA[8-2-6-1-4-1431,J,8,#6]'</f>
        <v>3279.21</v>
      </c>
      <c r="N480" s="74">
        <f>[1]!'@CTA[8-2-7-1-4-1431,F,8,#6]'</f>
        <v>3279.2099999999964</v>
      </c>
      <c r="O480" s="66">
        <f t="shared" si="30"/>
        <v>12460</v>
      </c>
    </row>
    <row r="481" spans="1:15" ht="168" x14ac:dyDescent="0.2">
      <c r="A481" s="67" t="s">
        <v>291</v>
      </c>
      <c r="B481" s="61" t="s">
        <v>163</v>
      </c>
      <c r="C481" s="61" t="s">
        <v>149</v>
      </c>
      <c r="D481" s="62" t="s">
        <v>292</v>
      </c>
      <c r="E481" s="71" t="s">
        <v>164</v>
      </c>
      <c r="F481" s="72">
        <v>1441</v>
      </c>
      <c r="G481" s="73" t="s">
        <v>168</v>
      </c>
      <c r="H481" s="74">
        <f>[1]!'@CTA[8-2-1-1-4-1441,F,8,#6]'</f>
        <v>1408</v>
      </c>
      <c r="I481" s="74">
        <f>[1]!'@CTA[8-2-3-1-4-1441,F,8,#6]'</f>
        <v>0</v>
      </c>
      <c r="J481" s="75">
        <f>[1]!'@CTA[8-2-1-1-4-1441,F,8,#6]'+[1]!'@CTA[8-2-3-1-4-1441,F,8,#6]'</f>
        <v>1408</v>
      </c>
      <c r="K481" s="76">
        <f>[1]!'@CTA[8-2-4-1-4-1441,J,8,#6]'</f>
        <v>557.14</v>
      </c>
      <c r="L481" s="76">
        <f>[1]!'@CTA[8-2-5-1-4-1441,J,8,#6]'</f>
        <v>557.14</v>
      </c>
      <c r="M481" s="76">
        <f>[1]!'@CTA[8-2-6-1-4-1441,J,8,#6]'</f>
        <v>557.14</v>
      </c>
      <c r="N481" s="74">
        <f>[1]!'@CTA[8-2-7-1-4-1441,F,8,#6]'</f>
        <v>557.14000000000055</v>
      </c>
      <c r="O481" s="66">
        <f t="shared" si="30"/>
        <v>850.86</v>
      </c>
    </row>
    <row r="482" spans="1:15" ht="168" x14ac:dyDescent="0.2">
      <c r="A482" s="67" t="s">
        <v>291</v>
      </c>
      <c r="B482" s="61" t="s">
        <v>169</v>
      </c>
      <c r="C482" s="61" t="s">
        <v>149</v>
      </c>
      <c r="D482" s="62" t="s">
        <v>292</v>
      </c>
      <c r="E482" s="71" t="s">
        <v>153</v>
      </c>
      <c r="F482" s="72">
        <v>1521</v>
      </c>
      <c r="G482" s="73" t="s">
        <v>170</v>
      </c>
      <c r="H482" s="74">
        <f>[1]!'@CTA[8-2-1-1-5-1521,F,8,#6]'</f>
        <v>0</v>
      </c>
      <c r="I482" s="74">
        <f>[1]!'@CTA[8-2-3-1-5-1521,F,8,#6]'</f>
        <v>0</v>
      </c>
      <c r="J482" s="75">
        <f>[1]!'@CTA[8-2-1-1-5-1521,F,8,#6]'+[1]!'@CTA[8-2-3-1-5-1521,F,8,#6]'</f>
        <v>0</v>
      </c>
      <c r="K482" s="76">
        <f>[1]!'@CTA[8-2-4-1-5-1521,J,8,#6]'</f>
        <v>0</v>
      </c>
      <c r="L482" s="76">
        <f>[1]!'@CTA[8-2-5-1-5-1521,J,8,#6]'</f>
        <v>0</v>
      </c>
      <c r="M482" s="76">
        <f>[1]!'@CTA[8-2-6-1-5-1521,J,8,#6]'</f>
        <v>0</v>
      </c>
      <c r="N482" s="74">
        <f>[1]!'@CTA[8-2-7-1-5-1521,F,8,#6]'</f>
        <v>0</v>
      </c>
      <c r="O482" s="66">
        <f t="shared" si="30"/>
        <v>0</v>
      </c>
    </row>
    <row r="483" spans="1:15" ht="168" x14ac:dyDescent="0.2">
      <c r="A483" s="67" t="s">
        <v>291</v>
      </c>
      <c r="B483" s="61" t="s">
        <v>152</v>
      </c>
      <c r="C483" s="61" t="s">
        <v>149</v>
      </c>
      <c r="D483" s="62" t="s">
        <v>292</v>
      </c>
      <c r="E483" s="71" t="s">
        <v>153</v>
      </c>
      <c r="F483" s="72">
        <v>1522</v>
      </c>
      <c r="G483" s="73" t="s">
        <v>171</v>
      </c>
      <c r="H483" s="74">
        <f>[1]!'@CTA[8-2-1-1-5-1522,F,8,#6]'</f>
        <v>0</v>
      </c>
      <c r="I483" s="74">
        <f>[1]!'@CTA[8-2-3-1-5-1522,F,8,#6]'</f>
        <v>0</v>
      </c>
      <c r="J483" s="75">
        <f>[1]!'@CTA[8-2-1-1-5-1522,F,8,#6]'+[1]!'@CTA[8-2-3-1-5-1522,F,8,#6]'</f>
        <v>0</v>
      </c>
      <c r="K483" s="76">
        <f>[1]!'@CTA[8-2-4-1-5-1522,J,8,#6]'</f>
        <v>0</v>
      </c>
      <c r="L483" s="76">
        <f>[1]!'@CTA[8-2-5-1-5-1522,J,8,#6]'</f>
        <v>0</v>
      </c>
      <c r="M483" s="76">
        <f>[1]!'@CTA[8-2-6-1-5-1522,J,8,#6]'</f>
        <v>0</v>
      </c>
      <c r="N483" s="74">
        <f>[1]!'@CTA[8-2-7-1-5-1522,F,8,#6]'</f>
        <v>0</v>
      </c>
      <c r="O483" s="66">
        <f t="shared" si="30"/>
        <v>0</v>
      </c>
    </row>
    <row r="484" spans="1:15" ht="168" x14ac:dyDescent="0.2">
      <c r="A484" s="67" t="s">
        <v>291</v>
      </c>
      <c r="B484" s="61" t="s">
        <v>152</v>
      </c>
      <c r="C484" s="61" t="s">
        <v>149</v>
      </c>
      <c r="D484" s="62" t="s">
        <v>292</v>
      </c>
      <c r="E484" s="71" t="s">
        <v>153</v>
      </c>
      <c r="F484" s="72">
        <v>1541</v>
      </c>
      <c r="G484" s="73" t="s">
        <v>172</v>
      </c>
      <c r="H484" s="74">
        <f>[1]!'@CTA[8-2-1-1-5-1541,F,8,#6]'</f>
        <v>72135</v>
      </c>
      <c r="I484" s="74">
        <f>[1]!'@CTA[8-2-3-1-5-1541,F,8,#6]'</f>
        <v>0</v>
      </c>
      <c r="J484" s="75">
        <f>[1]!'@CTA[8-2-1-1-5-1541,F,8,#6]'+[1]!'@CTA[8-2-3-1-5-1541,F,8,#6]'</f>
        <v>72135</v>
      </c>
      <c r="K484" s="76">
        <f>[1]!'@CTA[8-2-4-1-5-1541,J,8,#6]'</f>
        <v>15101.369999999999</v>
      </c>
      <c r="L484" s="76">
        <f>[1]!'@CTA[8-2-5-1-5-1541,J,8,#6]'</f>
        <v>15101.369999999999</v>
      </c>
      <c r="M484" s="76">
        <f>[1]!'@CTA[8-2-6-1-5-1541,J,8,#6]'</f>
        <v>15101.369999999999</v>
      </c>
      <c r="N484" s="74">
        <f>[1]!'@CTA[8-2-7-1-5-1541,F,8,#6]'</f>
        <v>15101.369999999999</v>
      </c>
      <c r="O484" s="66">
        <f t="shared" si="30"/>
        <v>57033.630000000005</v>
      </c>
    </row>
    <row r="485" spans="1:15" ht="168" x14ac:dyDescent="0.2">
      <c r="A485" s="67" t="s">
        <v>291</v>
      </c>
      <c r="B485" s="61" t="s">
        <v>152</v>
      </c>
      <c r="C485" s="61" t="s">
        <v>149</v>
      </c>
      <c r="D485" s="62" t="s">
        <v>292</v>
      </c>
      <c r="E485" s="71" t="s">
        <v>153</v>
      </c>
      <c r="F485" s="72">
        <v>1542</v>
      </c>
      <c r="G485" s="73" t="s">
        <v>173</v>
      </c>
      <c r="H485" s="74">
        <f>[1]!'@CTA[8-2-1-1-5-1542,F,8,#6]'</f>
        <v>14466</v>
      </c>
      <c r="I485" s="74">
        <f>[1]!'@CTA[8-2-3-1-5-1542,F,8,#6]'</f>
        <v>0</v>
      </c>
      <c r="J485" s="75">
        <f>[1]!'@CTA[8-2-1-1-5-1542,F,8,#6]'+[1]!'@CTA[8-2-3-1-5-1542,F,8,#6]'</f>
        <v>14466</v>
      </c>
      <c r="K485" s="76">
        <f>[1]!'@CTA[8-2-4-1-5-1542,J,8,#6]'</f>
        <v>6124.31</v>
      </c>
      <c r="L485" s="76">
        <f>[1]!'@CTA[8-2-5-1-5-1542,J,8,#6]'</f>
        <v>6124.31</v>
      </c>
      <c r="M485" s="76">
        <f>[1]!'@CTA[8-2-6-1-5-1542,J,8,#6]'</f>
        <v>6124.31</v>
      </c>
      <c r="N485" s="74">
        <f>[1]!'@CTA[8-2-7-1-5-1542,F,8,#6]'</f>
        <v>3541.1599999999985</v>
      </c>
      <c r="O485" s="66">
        <f t="shared" si="30"/>
        <v>8341.6899999999987</v>
      </c>
    </row>
    <row r="486" spans="1:15" ht="168" x14ac:dyDescent="0.2">
      <c r="A486" s="67" t="s">
        <v>291</v>
      </c>
      <c r="B486" s="61" t="s">
        <v>152</v>
      </c>
      <c r="C486" s="61" t="s">
        <v>149</v>
      </c>
      <c r="D486" s="62" t="s">
        <v>292</v>
      </c>
      <c r="E486" s="71" t="s">
        <v>153</v>
      </c>
      <c r="F486" s="72">
        <v>1543</v>
      </c>
      <c r="G486" s="73" t="s">
        <v>174</v>
      </c>
      <c r="H486" s="74">
        <f>[1]!'@CTA[8-2-1-1-5-1543,F,8,#6]'</f>
        <v>0</v>
      </c>
      <c r="I486" s="74">
        <f>[1]!'@CTA[8-2-3-1-5-1543,F,8,#6]'</f>
        <v>0</v>
      </c>
      <c r="J486" s="75">
        <f>[1]!'@CTA[8-2-1-1-5-1543,F,8,#6]'+[1]!'@CTA[8-2-3-1-5-1543,F,8,#6]'</f>
        <v>0</v>
      </c>
      <c r="K486" s="76">
        <f>[1]!'@CTA[8-2-4-1-5-1543,J,8,#6]'</f>
        <v>0</v>
      </c>
      <c r="L486" s="76">
        <f>[1]!'@CTA[8-2-5-1-5-1543,J,8,#6]'</f>
        <v>0</v>
      </c>
      <c r="M486" s="76">
        <f>[1]!'@CTA[8-2-6-1-5-1543,J,8,#6]'</f>
        <v>0</v>
      </c>
      <c r="N486" s="74">
        <f>[1]!'@CTA[8-2-7-1-5-1543,F,8,#6]'</f>
        <v>0</v>
      </c>
      <c r="O486" s="66">
        <f t="shared" si="30"/>
        <v>0</v>
      </c>
    </row>
    <row r="487" spans="1:15" ht="168" x14ac:dyDescent="0.2">
      <c r="A487" s="67" t="s">
        <v>291</v>
      </c>
      <c r="B487" s="61" t="s">
        <v>152</v>
      </c>
      <c r="C487" s="61" t="s">
        <v>149</v>
      </c>
      <c r="D487" s="62" t="s">
        <v>292</v>
      </c>
      <c r="E487" s="71" t="s">
        <v>153</v>
      </c>
      <c r="F487" s="72">
        <v>1544</v>
      </c>
      <c r="G487" s="73" t="s">
        <v>175</v>
      </c>
      <c r="H487" s="74">
        <f>[1]!'@CTA[8-2-1-1-5-1544,F,8,#6]'</f>
        <v>0</v>
      </c>
      <c r="I487" s="74">
        <f>[1]!'@CTA[8-2-3-1-5-1544,F,8,#6]'</f>
        <v>0</v>
      </c>
      <c r="J487" s="75">
        <f>[1]!'@CTA[8-2-1-1-5-1544,F,8,#6]'+[1]!'@CTA[8-2-3-1-5-1544,F,8,#6]'</f>
        <v>0</v>
      </c>
      <c r="K487" s="76">
        <f>[1]!'@CTA[8-2-4-1-5-1544,J,8,#6]'</f>
        <v>0</v>
      </c>
      <c r="L487" s="76">
        <f>[1]!'@CTA[8-2-5-1-5-1544,J,8,#6]'</f>
        <v>0</v>
      </c>
      <c r="M487" s="76">
        <f>[1]!'@CTA[8-2-6-1-5-1544,J,8,#6]'</f>
        <v>0</v>
      </c>
      <c r="N487" s="74">
        <f>[1]!'@CTA[8-2-7-1-5-1544,F,8,#6]'</f>
        <v>0</v>
      </c>
      <c r="O487" s="66">
        <f t="shared" si="30"/>
        <v>0</v>
      </c>
    </row>
    <row r="488" spans="1:15" ht="168" x14ac:dyDescent="0.2">
      <c r="A488" s="67" t="s">
        <v>291</v>
      </c>
      <c r="B488" s="61"/>
      <c r="C488" s="61" t="s">
        <v>149</v>
      </c>
      <c r="D488" s="62" t="s">
        <v>292</v>
      </c>
      <c r="E488" s="61"/>
      <c r="F488" s="63">
        <v>2000</v>
      </c>
      <c r="G488" s="77" t="s">
        <v>176</v>
      </c>
      <c r="H488" s="69">
        <f t="shared" ref="H488:N488" si="34">SUBTOTAL(9,H489:H513)</f>
        <v>85540</v>
      </c>
      <c r="I488" s="69">
        <f t="shared" si="34"/>
        <v>8.9999999985476503E-2</v>
      </c>
      <c r="J488" s="69">
        <f t="shared" si="34"/>
        <v>85540.089999999982</v>
      </c>
      <c r="K488" s="70">
        <f t="shared" si="34"/>
        <v>6143.1600000000008</v>
      </c>
      <c r="L488" s="70">
        <f t="shared" si="34"/>
        <v>6143.1600000000008</v>
      </c>
      <c r="M488" s="70">
        <f t="shared" si="34"/>
        <v>6143.1600000000008</v>
      </c>
      <c r="N488" s="69">
        <f t="shared" si="34"/>
        <v>-168897.19</v>
      </c>
      <c r="O488" s="66">
        <f t="shared" si="30"/>
        <v>79396.929999999978</v>
      </c>
    </row>
    <row r="489" spans="1:15" ht="168" x14ac:dyDescent="0.2">
      <c r="A489" s="67" t="s">
        <v>291</v>
      </c>
      <c r="B489" s="61" t="s">
        <v>152</v>
      </c>
      <c r="C489" s="61" t="s">
        <v>149</v>
      </c>
      <c r="D489" s="62" t="s">
        <v>292</v>
      </c>
      <c r="E489" s="71" t="s">
        <v>177</v>
      </c>
      <c r="F489" s="72">
        <v>2111</v>
      </c>
      <c r="G489" s="73" t="s">
        <v>178</v>
      </c>
      <c r="H489" s="74">
        <f>[1]!'@CTA[8-2-1-2-1-2111,F,8,#6]'</f>
        <v>2468</v>
      </c>
      <c r="I489" s="74">
        <f>[1]!'@CTA[8-2-3-2-1-2111,F,8,#6]'</f>
        <v>0.06</v>
      </c>
      <c r="J489" s="75">
        <f>[1]!'@CTA[8-2-1-2-1-2111,F,8,#6]'+[1]!'@CTA[8-2-3-2-1-2111,F,8,#6]'</f>
        <v>2468.06</v>
      </c>
      <c r="K489" s="76">
        <f>[1]!'@CTA[8-2-4-2-1-2111,J,8,#6]'</f>
        <v>166.11999999999998</v>
      </c>
      <c r="L489" s="76">
        <f>[1]!'@CTA[8-2-5-2-1-2111,J,8,#6]'</f>
        <v>166.11999999999998</v>
      </c>
      <c r="M489" s="76">
        <f>[1]!'@CTA[8-2-6-2-1-2111,J,8,#6]'</f>
        <v>166.11999999999998</v>
      </c>
      <c r="N489" s="74">
        <f>[1]!'@CTA[8-2-7-2-1-2111,F,8,#6]'</f>
        <v>166.11999999999995</v>
      </c>
      <c r="O489" s="66">
        <f t="shared" si="30"/>
        <v>2301.94</v>
      </c>
    </row>
    <row r="490" spans="1:15" ht="168" x14ac:dyDescent="0.2">
      <c r="A490" s="67" t="s">
        <v>291</v>
      </c>
      <c r="B490" s="61" t="s">
        <v>152</v>
      </c>
      <c r="C490" s="61" t="s">
        <v>149</v>
      </c>
      <c r="D490" s="62" t="s">
        <v>292</v>
      </c>
      <c r="E490" s="71" t="s">
        <v>177</v>
      </c>
      <c r="F490" s="72">
        <v>2121</v>
      </c>
      <c r="G490" s="73" t="s">
        <v>179</v>
      </c>
      <c r="H490" s="74">
        <f>[1]!'@CTA[8-2-1-2-1-2121,F,8,#6]'</f>
        <v>591</v>
      </c>
      <c r="I490" s="74">
        <f>[1]!'@CTA[8-2-3-2-1-2121,F,8,#6]'</f>
        <v>0</v>
      </c>
      <c r="J490" s="75">
        <f>[1]!'@CTA[8-2-1-2-1-2121,F,8,#6]'+[1]!'@CTA[8-2-3-2-1-2121,F,8,#6]'</f>
        <v>591</v>
      </c>
      <c r="K490" s="76">
        <f>[1]!'@CTA[8-2-4-2-1-2121,J,8,#6]'</f>
        <v>85.59</v>
      </c>
      <c r="L490" s="76">
        <f>[1]!'@CTA[8-2-5-2-1-2121,J,8,#6]'</f>
        <v>85.59</v>
      </c>
      <c r="M490" s="76">
        <f>[1]!'@CTA[8-2-6-2-1-2121,J,8,#6]'</f>
        <v>85.59</v>
      </c>
      <c r="N490" s="74">
        <f>[1]!'@CTA[8-2-7-2-1-2121,F,8,#6]'</f>
        <v>85.590000000000089</v>
      </c>
      <c r="O490" s="66">
        <f t="shared" si="30"/>
        <v>505.40999999999997</v>
      </c>
    </row>
    <row r="491" spans="1:15" ht="168" x14ac:dyDescent="0.2">
      <c r="A491" s="67" t="s">
        <v>291</v>
      </c>
      <c r="B491" s="61" t="s">
        <v>152</v>
      </c>
      <c r="C491" s="61" t="s">
        <v>149</v>
      </c>
      <c r="D491" s="62" t="s">
        <v>292</v>
      </c>
      <c r="E491" s="71" t="s">
        <v>177</v>
      </c>
      <c r="F491" s="72">
        <v>2131</v>
      </c>
      <c r="G491" s="73" t="s">
        <v>180</v>
      </c>
      <c r="H491" s="74">
        <f>[1]!'@CTA[8-2-1-2-1-2131,F,8,#6]'</f>
        <v>0</v>
      </c>
      <c r="I491" s="74">
        <f>[1]!'@CTA[8-2-3-2-1-2131,F,8,#6]'</f>
        <v>0</v>
      </c>
      <c r="J491" s="75">
        <f>[1]!'@CTA[8-2-1-2-1-2131,F,8,#6]'+[1]!'@CTA[8-2-3-2-1-2131,F,8,#6]'</f>
        <v>0</v>
      </c>
      <c r="K491" s="76">
        <f>[1]!'@CTA[8-2-4-2-1-2131,J,8,#6]'</f>
        <v>0</v>
      </c>
      <c r="L491" s="76">
        <f>[1]!'@CTA[8-2-5-2-1-2131,J,8,#6]'</f>
        <v>0</v>
      </c>
      <c r="M491" s="76">
        <f>[1]!'@CTA[8-2-6-2-1-2131,J,8,#6]'</f>
        <v>0</v>
      </c>
      <c r="N491" s="74">
        <f>[1]!'@CTA[8-2-7-2-1-2131,F,8,#6]'</f>
        <v>0</v>
      </c>
      <c r="O491" s="66">
        <f t="shared" si="30"/>
        <v>0</v>
      </c>
    </row>
    <row r="492" spans="1:15" ht="168" x14ac:dyDescent="0.2">
      <c r="A492" s="67" t="s">
        <v>291</v>
      </c>
      <c r="B492" s="61" t="s">
        <v>152</v>
      </c>
      <c r="C492" s="61" t="s">
        <v>149</v>
      </c>
      <c r="D492" s="62" t="s">
        <v>292</v>
      </c>
      <c r="E492" s="71" t="s">
        <v>177</v>
      </c>
      <c r="F492" s="72">
        <v>2141</v>
      </c>
      <c r="G492" s="73" t="s">
        <v>181</v>
      </c>
      <c r="H492" s="74">
        <f>[1]!'@CTA[8-2-1-2-1-2141,F,8,#6]'</f>
        <v>326</v>
      </c>
      <c r="I492" s="74">
        <f>[1]!'@CTA[8-2-3-2-1-2141,F,8,#6]'</f>
        <v>0</v>
      </c>
      <c r="J492" s="75">
        <f>[1]!'@CTA[8-2-1-2-1-2141,F,8,#6]'+[1]!'@CTA[8-2-3-2-1-2141,F,8,#6]'</f>
        <v>326</v>
      </c>
      <c r="K492" s="76">
        <f>[1]!'@CTA[8-2-4-2-1-2141,J,8,#6]'</f>
        <v>0</v>
      </c>
      <c r="L492" s="76">
        <f>[1]!'@CTA[8-2-5-2-1-2141,J,8,#6]'</f>
        <v>0</v>
      </c>
      <c r="M492" s="76">
        <f>[1]!'@CTA[8-2-6-2-1-2141,J,8,#6]'</f>
        <v>0</v>
      </c>
      <c r="N492" s="74">
        <f>[1]!'@CTA[8-2-7-2-1-2141,F,8,#6]'</f>
        <v>0</v>
      </c>
      <c r="O492" s="66">
        <f t="shared" si="30"/>
        <v>326</v>
      </c>
    </row>
    <row r="493" spans="1:15" ht="168" x14ac:dyDescent="0.2">
      <c r="A493" s="67" t="s">
        <v>291</v>
      </c>
      <c r="B493" s="61" t="s">
        <v>152</v>
      </c>
      <c r="C493" s="61" t="s">
        <v>149</v>
      </c>
      <c r="D493" s="62" t="s">
        <v>292</v>
      </c>
      <c r="E493" s="71" t="s">
        <v>177</v>
      </c>
      <c r="F493" s="72">
        <v>2151</v>
      </c>
      <c r="G493" s="73" t="s">
        <v>182</v>
      </c>
      <c r="H493" s="74">
        <f>[1]!'@CTA[8-2-1-2-1-2151,F,8,#6]'</f>
        <v>160</v>
      </c>
      <c r="I493" s="74">
        <f>[1]!'@CTA[8-2-3-2-1-2151,F,8,#6]'</f>
        <v>0</v>
      </c>
      <c r="J493" s="75">
        <f>[1]!'@CTA[8-2-1-2-1-2151,F,8,#6]'+[1]!'@CTA[8-2-3-2-1-2151,F,8,#6]'</f>
        <v>160</v>
      </c>
      <c r="K493" s="76">
        <f>[1]!'@CTA[8-2-4-2-1-2151,J,8,#6]'</f>
        <v>0</v>
      </c>
      <c r="L493" s="76">
        <f>[1]!'@CTA[8-2-5-2-1-2151,J,8,#6]'</f>
        <v>0</v>
      </c>
      <c r="M493" s="76">
        <f>[1]!'@CTA[8-2-6-2-1-2151,J,8,#6]'</f>
        <v>0</v>
      </c>
      <c r="N493" s="74">
        <f>[1]!'@CTA[8-2-7-2-1-2151,F,8,#6]'</f>
        <v>0</v>
      </c>
      <c r="O493" s="66">
        <f t="shared" si="30"/>
        <v>160</v>
      </c>
    </row>
    <row r="494" spans="1:15" ht="168" x14ac:dyDescent="0.2">
      <c r="A494" s="67" t="s">
        <v>291</v>
      </c>
      <c r="B494" s="61" t="s">
        <v>152</v>
      </c>
      <c r="C494" s="61" t="s">
        <v>149</v>
      </c>
      <c r="D494" s="62" t="s">
        <v>292</v>
      </c>
      <c r="E494" s="71" t="s">
        <v>177</v>
      </c>
      <c r="F494" s="72">
        <v>2161</v>
      </c>
      <c r="G494" s="73" t="s">
        <v>183</v>
      </c>
      <c r="H494" s="74">
        <f>[1]!'@CTA[8-2-1-2-1-2161,F,8,#6]'</f>
        <v>909</v>
      </c>
      <c r="I494" s="74">
        <f>[1]!'@CTA[8-2-3-2-1-2161,F,8,#6]'</f>
        <v>0</v>
      </c>
      <c r="J494" s="75">
        <f>[1]!'@CTA[8-2-1-2-1-2161,F,8,#6]'+[1]!'@CTA[8-2-3-2-1-2161,F,8,#6]'</f>
        <v>909</v>
      </c>
      <c r="K494" s="76">
        <f>[1]!'@CTA[8-2-4-2-1-2161,J,8,#6]'</f>
        <v>0</v>
      </c>
      <c r="L494" s="76">
        <f>[1]!'@CTA[8-2-5-2-1-2161,J,8,#6]'</f>
        <v>0</v>
      </c>
      <c r="M494" s="76">
        <f>[1]!'@CTA[8-2-6-2-1-2161,J,8,#6]'</f>
        <v>0</v>
      </c>
      <c r="N494" s="74">
        <f>[1]!'@CTA[8-2-7-2-1-2161,F,8,#6]'</f>
        <v>0</v>
      </c>
      <c r="O494" s="66">
        <f t="shared" si="30"/>
        <v>909</v>
      </c>
    </row>
    <row r="495" spans="1:15" ht="168" x14ac:dyDescent="0.2">
      <c r="A495" s="67" t="s">
        <v>291</v>
      </c>
      <c r="B495" s="61" t="s">
        <v>152</v>
      </c>
      <c r="C495" s="61" t="s">
        <v>149</v>
      </c>
      <c r="D495" s="62" t="s">
        <v>292</v>
      </c>
      <c r="E495" s="71" t="s">
        <v>177</v>
      </c>
      <c r="F495" s="72">
        <v>2171</v>
      </c>
      <c r="G495" s="73" t="s">
        <v>184</v>
      </c>
      <c r="H495" s="74">
        <f>[1]!'@CTA[8-2-1-2-1-2171,F,8,#6]'</f>
        <v>41400</v>
      </c>
      <c r="I495" s="74">
        <f>[1]!'@CTA[8-2-3-2-1-2171,F,8,#6]'</f>
        <v>-1.4551915228366852E-11</v>
      </c>
      <c r="J495" s="75">
        <f>[1]!'@CTA[8-2-1-2-1-2171,F,8,#6]'+[1]!'@CTA[8-2-3-2-1-2171,F,8,#6]'</f>
        <v>41399.999999999985</v>
      </c>
      <c r="K495" s="76">
        <f>[1]!'@CTA[8-2-4-2-1-2171,J,8,#6]'</f>
        <v>0</v>
      </c>
      <c r="L495" s="76">
        <f>[1]!'@CTA[8-2-5-2-1-2171,J,8,#6]'</f>
        <v>0</v>
      </c>
      <c r="M495" s="76">
        <f>[1]!'@CTA[8-2-6-2-1-2171,J,8,#6]'</f>
        <v>0</v>
      </c>
      <c r="N495" s="74">
        <f>[1]!'@CTA[8-2-7-2-1-2171,F,8,#6]'</f>
        <v>-7.2759576141834259E-12</v>
      </c>
      <c r="O495" s="66">
        <f t="shared" si="30"/>
        <v>41399.999999999985</v>
      </c>
    </row>
    <row r="496" spans="1:15" ht="168" x14ac:dyDescent="0.2">
      <c r="A496" s="67" t="s">
        <v>291</v>
      </c>
      <c r="B496" s="61" t="s">
        <v>152</v>
      </c>
      <c r="C496" s="61" t="s">
        <v>149</v>
      </c>
      <c r="D496" s="62" t="s">
        <v>292</v>
      </c>
      <c r="E496" s="71" t="s">
        <v>177</v>
      </c>
      <c r="F496" s="72">
        <v>2211</v>
      </c>
      <c r="G496" s="73" t="s">
        <v>185</v>
      </c>
      <c r="H496" s="74">
        <f>[1]!'@CTA[8-2-1-2-2-2211,F,8,#6]'</f>
        <v>7800</v>
      </c>
      <c r="I496" s="74">
        <f>[1]!'@CTA[8-2-3-2-2-2211,F,8,#6]'</f>
        <v>2.8421709430404007E-14</v>
      </c>
      <c r="J496" s="75">
        <f>[1]!'@CTA[8-2-1-2-2-2211,F,8,#6]'+[1]!'@CTA[8-2-3-2-2-2211,F,8,#6]'</f>
        <v>7800</v>
      </c>
      <c r="K496" s="76">
        <f>[1]!'@CTA[8-2-4-2-2-2211,J,8,#6]'</f>
        <v>390</v>
      </c>
      <c r="L496" s="76">
        <f>[1]!'@CTA[8-2-5-2-2-2211,J,8,#6]'</f>
        <v>390</v>
      </c>
      <c r="M496" s="76">
        <f>[1]!'@CTA[8-2-6-2-2-2211,J,8,#6]'</f>
        <v>390</v>
      </c>
      <c r="N496" s="74">
        <f>[1]!'@CTA[8-2-7-2-2-2211,F,8,#6]'</f>
        <v>390</v>
      </c>
      <c r="O496" s="66">
        <f t="shared" si="30"/>
        <v>7410</v>
      </c>
    </row>
    <row r="497" spans="1:15" ht="168" x14ac:dyDescent="0.2">
      <c r="A497" s="67" t="s">
        <v>291</v>
      </c>
      <c r="B497" s="61" t="s">
        <v>152</v>
      </c>
      <c r="C497" s="61" t="s">
        <v>149</v>
      </c>
      <c r="D497" s="62" t="s">
        <v>292</v>
      </c>
      <c r="E497" s="71" t="s">
        <v>177</v>
      </c>
      <c r="F497" s="72">
        <v>2231</v>
      </c>
      <c r="G497" s="73" t="s">
        <v>186</v>
      </c>
      <c r="H497" s="74">
        <f>[1]!'@CTA[8-2-1-2-2-2231,F,8,#6]'</f>
        <v>1260</v>
      </c>
      <c r="I497" s="74">
        <f>[1]!'@CTA[8-2-3-2-2-2231,F,8,#6]'</f>
        <v>0.03</v>
      </c>
      <c r="J497" s="75">
        <f>[1]!'@CTA[8-2-1-2-2-2231,F,8,#6]'+[1]!'@CTA[8-2-3-2-2-2231,F,8,#6]'</f>
        <v>1260.03</v>
      </c>
      <c r="K497" s="76">
        <f>[1]!'@CTA[8-2-4-2-2-2231,J,8,#6]'</f>
        <v>386.16999999999996</v>
      </c>
      <c r="L497" s="76">
        <f>[1]!'@CTA[8-2-5-2-2-2231,J,8,#6]'</f>
        <v>386.16999999999996</v>
      </c>
      <c r="M497" s="76">
        <f>[1]!'@CTA[8-2-6-2-2-2231,J,8,#6]'</f>
        <v>386.16999999999996</v>
      </c>
      <c r="N497" s="74">
        <f>[1]!'@CTA[8-2-7-2-2-2231,F,8,#6]'</f>
        <v>326.93999999999932</v>
      </c>
      <c r="O497" s="66">
        <f t="shared" si="30"/>
        <v>873.86</v>
      </c>
    </row>
    <row r="498" spans="1:15" ht="168" x14ac:dyDescent="0.2">
      <c r="A498" s="67" t="s">
        <v>291</v>
      </c>
      <c r="B498" s="61" t="s">
        <v>152</v>
      </c>
      <c r="C498" s="61" t="s">
        <v>149</v>
      </c>
      <c r="D498" s="62" t="s">
        <v>292</v>
      </c>
      <c r="E498" s="71" t="s">
        <v>177</v>
      </c>
      <c r="F498" s="72">
        <v>2411</v>
      </c>
      <c r="G498" s="73" t="s">
        <v>187</v>
      </c>
      <c r="H498" s="74">
        <f>[1]!'@CTA[8-2-1-2-4-2411,F,8,#6]'</f>
        <v>0</v>
      </c>
      <c r="I498" s="74">
        <f>[1]!'@CTA[8-2-3-2-4-2411,F,8,#6]'</f>
        <v>0</v>
      </c>
      <c r="J498" s="75">
        <f>[1]!'@CTA[8-2-1-2-4-2411,F,8,#6]'+[1]!'@CTA[8-2-3-2-4-2411,F,8,#6]'</f>
        <v>0</v>
      </c>
      <c r="K498" s="76">
        <f>[1]!'@CTA[8-2-4-2-4-2411,J,8,#6]'</f>
        <v>0</v>
      </c>
      <c r="L498" s="76">
        <f>[1]!'@CTA[8-2-5-2-4-2411,J,8,#6]'</f>
        <v>0</v>
      </c>
      <c r="M498" s="76">
        <f>[1]!'@CTA[8-2-6-2-4-2411,J,8,#6]'</f>
        <v>0</v>
      </c>
      <c r="N498" s="74">
        <f>[1]!'@CTA[8-2-7-2-4-2411,F,8,#6]'</f>
        <v>0</v>
      </c>
      <c r="O498" s="66">
        <f t="shared" si="30"/>
        <v>0</v>
      </c>
    </row>
    <row r="499" spans="1:15" ht="168" x14ac:dyDescent="0.2">
      <c r="A499" s="67" t="s">
        <v>291</v>
      </c>
      <c r="B499" s="61" t="s">
        <v>152</v>
      </c>
      <c r="C499" s="61" t="s">
        <v>149</v>
      </c>
      <c r="D499" s="62" t="s">
        <v>292</v>
      </c>
      <c r="E499" s="71" t="s">
        <v>177</v>
      </c>
      <c r="F499" s="72">
        <v>2461</v>
      </c>
      <c r="G499" s="73" t="s">
        <v>188</v>
      </c>
      <c r="H499" s="74">
        <f>[1]!'@CTA[8-2-1-2-4-2461,F,8,#6]'</f>
        <v>1200</v>
      </c>
      <c r="I499" s="74">
        <f>[1]!'@CTA[8-2-3-2-4-2461,F,8,#6]'</f>
        <v>0</v>
      </c>
      <c r="J499" s="75">
        <f>[1]!'@CTA[8-2-1-2-4-2461,F,8,#6]'+[1]!'@CTA[8-2-3-2-4-2461,F,8,#6]'</f>
        <v>1200</v>
      </c>
      <c r="K499" s="76">
        <f>[1]!'@CTA[8-2-4-2-4-2461,J,8,#6]'</f>
        <v>0</v>
      </c>
      <c r="L499" s="76">
        <f>[1]!'@CTA[8-2-5-2-4-2461,J,8,#6]'</f>
        <v>0</v>
      </c>
      <c r="M499" s="76">
        <f>[1]!'@CTA[8-2-6-2-4-2461,J,8,#6]'</f>
        <v>0</v>
      </c>
      <c r="N499" s="74">
        <f>[1]!'@CTA[8-2-7-2-4-2461,F,8,#6]'</f>
        <v>-2.8421709430404007E-14</v>
      </c>
      <c r="O499" s="66">
        <f t="shared" si="30"/>
        <v>1200</v>
      </c>
    </row>
    <row r="500" spans="1:15" ht="168" x14ac:dyDescent="0.2">
      <c r="A500" s="67" t="s">
        <v>291</v>
      </c>
      <c r="B500" s="61" t="s">
        <v>152</v>
      </c>
      <c r="C500" s="61" t="s">
        <v>149</v>
      </c>
      <c r="D500" s="62" t="s">
        <v>292</v>
      </c>
      <c r="E500" s="71" t="s">
        <v>177</v>
      </c>
      <c r="F500" s="72">
        <v>2471</v>
      </c>
      <c r="G500" s="73" t="s">
        <v>189</v>
      </c>
      <c r="H500" s="74">
        <f>[1]!'@CTA[8-2-1-2-4-2471,F,8,#6]'</f>
        <v>0</v>
      </c>
      <c r="I500" s="74">
        <f>[1]!'@CTA[8-2-3-2-4-2471,F,8,#6]'</f>
        <v>0</v>
      </c>
      <c r="J500" s="75">
        <f>[1]!'@CTA[8-2-1-2-4-2471,F,8,#6]'+[1]!'@CTA[8-2-3-2-4-2471,F,8,#6]'</f>
        <v>0</v>
      </c>
      <c r="K500" s="76">
        <f>[1]!'@CTA[8-2-4-2-4-2471,J,8,#6]'</f>
        <v>0</v>
      </c>
      <c r="L500" s="76">
        <f>[1]!'@CTA[8-2-5-2-4-2471,J,8,#6]'</f>
        <v>0</v>
      </c>
      <c r="M500" s="76">
        <f>[1]!'@CTA[8-2-6-2-4-2471,J,8,#6]'</f>
        <v>0</v>
      </c>
      <c r="N500" s="74">
        <f>[1]!'@CTA[8-2-7-2-4-2471,F,8,#6]'</f>
        <v>0</v>
      </c>
      <c r="O500" s="66">
        <f t="shared" si="30"/>
        <v>0</v>
      </c>
    </row>
    <row r="501" spans="1:15" ht="168" x14ac:dyDescent="0.2">
      <c r="A501" s="67" t="s">
        <v>291</v>
      </c>
      <c r="B501" s="61" t="s">
        <v>152</v>
      </c>
      <c r="C501" s="61" t="s">
        <v>149</v>
      </c>
      <c r="D501" s="62" t="s">
        <v>292</v>
      </c>
      <c r="E501" s="71" t="s">
        <v>177</v>
      </c>
      <c r="F501" s="72">
        <v>2481</v>
      </c>
      <c r="G501" s="73" t="s">
        <v>190</v>
      </c>
      <c r="H501" s="74">
        <f>[1]!'@CTA[8-2-1-2-4-2481,F,8,#6]'</f>
        <v>0</v>
      </c>
      <c r="I501" s="74">
        <f>[1]!'@CTA[8-2-3-2-4-2481,F,8,#6]'</f>
        <v>0</v>
      </c>
      <c r="J501" s="75">
        <f>[1]!'@CTA[8-2-1-2-4-2481,F,8,#6]'+[1]!'@CTA[8-2-3-2-4-2481,F,8,#6]'</f>
        <v>0</v>
      </c>
      <c r="K501" s="76">
        <f>[1]!'@CTA[8-2-4-2-4-2481,J,8,#6]'</f>
        <v>0</v>
      </c>
      <c r="L501" s="76">
        <f>[1]!'@CTA[8-2-5-2-4-2481,J,8,#6]'</f>
        <v>0</v>
      </c>
      <c r="M501" s="76">
        <f>[1]!'@CTA[8-2-6-2-4-2481,J,8,#6]'</f>
        <v>0</v>
      </c>
      <c r="N501" s="74">
        <f>[1]!'@CTA[8-2-7-2-4-2481,F,8,#6]'</f>
        <v>0</v>
      </c>
      <c r="O501" s="66">
        <f t="shared" si="30"/>
        <v>0</v>
      </c>
    </row>
    <row r="502" spans="1:15" ht="168" x14ac:dyDescent="0.2">
      <c r="A502" s="67" t="s">
        <v>291</v>
      </c>
      <c r="B502" s="61" t="s">
        <v>152</v>
      </c>
      <c r="C502" s="61" t="s">
        <v>149</v>
      </c>
      <c r="D502" s="62" t="s">
        <v>292</v>
      </c>
      <c r="E502" s="71" t="s">
        <v>177</v>
      </c>
      <c r="F502" s="72">
        <v>2491</v>
      </c>
      <c r="G502" s="73" t="s">
        <v>191</v>
      </c>
      <c r="H502" s="74">
        <f>[1]!'@CTA[8-2-1-2-4-2491,F,8,#6]'</f>
        <v>0</v>
      </c>
      <c r="I502" s="74">
        <f>[1]!'@CTA[8-2-3-2-4-2491,F,8,#6]'</f>
        <v>0</v>
      </c>
      <c r="J502" s="75">
        <f>[1]!'@CTA[8-2-1-2-4-2491,F,8,#6]'+[1]!'@CTA[8-2-3-2-4-2491,F,8,#6]'</f>
        <v>0</v>
      </c>
      <c r="K502" s="76">
        <f>[1]!'@CTA[8-2-4-2-4-2491,J,8,#6]'</f>
        <v>0</v>
      </c>
      <c r="L502" s="76">
        <f>[1]!'@CTA[8-2-5-2-4-2491,J,8,#6]'</f>
        <v>0</v>
      </c>
      <c r="M502" s="76">
        <f>[1]!'@CTA[8-2-6-2-4-2491,J,8,#6]'</f>
        <v>0</v>
      </c>
      <c r="N502" s="74">
        <f>[1]!'@CTA[8-2-7-2-4-2491,F,8,#6]'</f>
        <v>0</v>
      </c>
      <c r="O502" s="66">
        <f t="shared" si="30"/>
        <v>0</v>
      </c>
    </row>
    <row r="503" spans="1:15" ht="168" x14ac:dyDescent="0.2">
      <c r="A503" s="67" t="s">
        <v>291</v>
      </c>
      <c r="B503" s="61" t="s">
        <v>152</v>
      </c>
      <c r="C503" s="61" t="s">
        <v>149</v>
      </c>
      <c r="D503" s="62" t="s">
        <v>292</v>
      </c>
      <c r="E503" s="71" t="s">
        <v>177</v>
      </c>
      <c r="F503" s="72">
        <v>2492</v>
      </c>
      <c r="G503" s="73" t="s">
        <v>192</v>
      </c>
      <c r="H503" s="74">
        <f>[1]!'@CTA[8-2-1-2-4-2492,F,8,#6]'</f>
        <v>0</v>
      </c>
      <c r="I503" s="74">
        <f>[1]!'@CTA[8-2-3-2-4-2492,F,8,#6]'</f>
        <v>0</v>
      </c>
      <c r="J503" s="75">
        <f>[1]!'@CTA[8-2-1-2-4-2492,F,8,#6]'+[1]!'@CTA[8-2-3-2-4-2492,F,8,#6]'</f>
        <v>0</v>
      </c>
      <c r="K503" s="76">
        <f>[1]!'@CTA[8-2-4-2-4-2492,J,8,#6]'</f>
        <v>0</v>
      </c>
      <c r="L503" s="76">
        <f>[1]!'@CTA[8-2-5-2-4-2492,J,8,#6]'</f>
        <v>0</v>
      </c>
      <c r="M503" s="76">
        <f>[1]!'@CTA[8-2-6-2-4-2492,J,8,#6]'</f>
        <v>0</v>
      </c>
      <c r="N503" s="74">
        <f>[1]!'@CTA[8-2-7-2-4-2492,F,8,#6]'</f>
        <v>-174444.56</v>
      </c>
      <c r="O503" s="66">
        <f t="shared" si="30"/>
        <v>0</v>
      </c>
    </row>
    <row r="504" spans="1:15" ht="168" x14ac:dyDescent="0.2">
      <c r="A504" s="67" t="s">
        <v>291</v>
      </c>
      <c r="B504" s="61" t="s">
        <v>152</v>
      </c>
      <c r="C504" s="61" t="s">
        <v>149</v>
      </c>
      <c r="D504" s="62" t="s">
        <v>292</v>
      </c>
      <c r="E504" s="71" t="s">
        <v>177</v>
      </c>
      <c r="F504" s="72">
        <v>2531</v>
      </c>
      <c r="G504" s="73" t="s">
        <v>193</v>
      </c>
      <c r="H504" s="74">
        <f>[1]!'@CTA[8-2-1-2-5-2531,F,8,#6]'</f>
        <v>0</v>
      </c>
      <c r="I504" s="74">
        <f>[1]!'@CTA[8-2-3-2-5-2531,F,8,#6]'</f>
        <v>0</v>
      </c>
      <c r="J504" s="75">
        <f>[1]!'@CTA[8-2-1-2-5-2531,F,8,#6]'+[1]!'@CTA[8-2-3-2-5-2531,F,8,#6]'</f>
        <v>0</v>
      </c>
      <c r="K504" s="76">
        <f>[1]!'@CTA[8-2-4-2-5-2531,J,8,#6]'</f>
        <v>0</v>
      </c>
      <c r="L504" s="76">
        <f>[1]!'@CTA[8-2-5-2-5-2531,J,8,#6]'</f>
        <v>0</v>
      </c>
      <c r="M504" s="76">
        <f>[1]!'@CTA[8-2-6-2-5-2531,J,8,#6]'</f>
        <v>0</v>
      </c>
      <c r="N504" s="74">
        <f>[1]!'@CTA[8-2-7-2-5-2531,F,8,#6]'</f>
        <v>0</v>
      </c>
      <c r="O504" s="66">
        <f t="shared" si="30"/>
        <v>0</v>
      </c>
    </row>
    <row r="505" spans="1:15" ht="168" x14ac:dyDescent="0.2">
      <c r="A505" s="67" t="s">
        <v>291</v>
      </c>
      <c r="B505" s="61" t="s">
        <v>152</v>
      </c>
      <c r="C505" s="61" t="s">
        <v>149</v>
      </c>
      <c r="D505" s="62" t="s">
        <v>292</v>
      </c>
      <c r="E505" s="71" t="s">
        <v>177</v>
      </c>
      <c r="F505" s="72">
        <v>2551</v>
      </c>
      <c r="G505" s="73" t="s">
        <v>194</v>
      </c>
      <c r="H505" s="74">
        <f>[1]!'@CTA[8-2-1-2-5-2551,F,8,#6]'</f>
        <v>0</v>
      </c>
      <c r="I505" s="74">
        <f>[1]!'@CTA[8-2-3-2-5-2551,F,8,#6]'</f>
        <v>0</v>
      </c>
      <c r="J505" s="75">
        <f>[1]!'@CTA[8-2-1-2-5-2551,F,8,#6]'+[1]!'@CTA[8-2-3-2-5-2551,F,8,#6]'</f>
        <v>0</v>
      </c>
      <c r="K505" s="76">
        <f>[1]!'@CTA[8-2-4-2-5-2551,J,8,#6]'</f>
        <v>0</v>
      </c>
      <c r="L505" s="76">
        <f>[1]!'@CTA[8-2-5-2-5-2551,J,8,#6]'</f>
        <v>0</v>
      </c>
      <c r="M505" s="76">
        <f>[1]!'@CTA[8-2-6-2-5-2551,J,8,#6]'</f>
        <v>0</v>
      </c>
      <c r="N505" s="74">
        <f>[1]!'@CTA[8-2-7-2-5-2551,F,8,#6]'</f>
        <v>0</v>
      </c>
      <c r="O505" s="66">
        <f t="shared" si="30"/>
        <v>0</v>
      </c>
    </row>
    <row r="506" spans="1:15" ht="168" x14ac:dyDescent="0.2">
      <c r="A506" s="67" t="s">
        <v>291</v>
      </c>
      <c r="B506" s="61" t="s">
        <v>152</v>
      </c>
      <c r="C506" s="61" t="s">
        <v>149</v>
      </c>
      <c r="D506" s="62" t="s">
        <v>292</v>
      </c>
      <c r="E506" s="71" t="s">
        <v>177</v>
      </c>
      <c r="F506" s="72">
        <v>2591</v>
      </c>
      <c r="G506" s="73" t="s">
        <v>195</v>
      </c>
      <c r="H506" s="74">
        <f>[1]!'@CTA[8-2-1-2-5-2591,F,8,#6]'</f>
        <v>4226</v>
      </c>
      <c r="I506" s="74">
        <f>[1]!'@CTA[8-2-3-2-5-2591,F,8,#6]'</f>
        <v>0</v>
      </c>
      <c r="J506" s="75">
        <f>[1]!'@CTA[8-2-1-2-5-2591,F,8,#6]'+[1]!'@CTA[8-2-3-2-5-2591,F,8,#6]'</f>
        <v>4226</v>
      </c>
      <c r="K506" s="76">
        <f>[1]!'@CTA[8-2-4-2-5-2591,J,8,#6]'</f>
        <v>26.94</v>
      </c>
      <c r="L506" s="76">
        <f>[1]!'@CTA[8-2-5-2-5-2591,J,8,#6]'</f>
        <v>26.94</v>
      </c>
      <c r="M506" s="76">
        <f>[1]!'@CTA[8-2-6-2-5-2591,J,8,#6]'</f>
        <v>26.94</v>
      </c>
      <c r="N506" s="74">
        <f>[1]!'@CTA[8-2-7-2-5-2591,F,8,#6]'</f>
        <v>0</v>
      </c>
      <c r="O506" s="66">
        <f t="shared" si="30"/>
        <v>4199.0600000000004</v>
      </c>
    </row>
    <row r="507" spans="1:15" ht="168" x14ac:dyDescent="0.2">
      <c r="A507" s="67" t="s">
        <v>291</v>
      </c>
      <c r="B507" s="61" t="s">
        <v>152</v>
      </c>
      <c r="C507" s="61" t="s">
        <v>149</v>
      </c>
      <c r="D507" s="62" t="s">
        <v>292</v>
      </c>
      <c r="E507" s="71" t="s">
        <v>177</v>
      </c>
      <c r="F507" s="72">
        <v>2611</v>
      </c>
      <c r="G507" s="73" t="s">
        <v>196</v>
      </c>
      <c r="H507" s="74">
        <f>[1]!'@CTA[8-2-1-2-6-2611,F,8,#6]'</f>
        <v>15000</v>
      </c>
      <c r="I507" s="74">
        <f>[1]!'@CTA[8-2-3-2-6-2611,F,8,#6]'</f>
        <v>0</v>
      </c>
      <c r="J507" s="75">
        <f>[1]!'@CTA[8-2-1-2-6-2611,F,8,#6]'+[1]!'@CTA[8-2-3-2-6-2611,F,8,#6]'</f>
        <v>15000</v>
      </c>
      <c r="K507" s="76">
        <f>[1]!'@CTA[8-2-4-2-6-2611,J,8,#6]'</f>
        <v>2430.08</v>
      </c>
      <c r="L507" s="76">
        <f>[1]!'@CTA[8-2-5-2-6-2611,J,8,#6]'</f>
        <v>2430.08</v>
      </c>
      <c r="M507" s="76">
        <f>[1]!'@CTA[8-2-6-2-6-2611,J,8,#6]'</f>
        <v>2430.08</v>
      </c>
      <c r="N507" s="74">
        <f>[1]!'@CTA[8-2-7-2-6-2611,F,8,#6]'</f>
        <v>1920.46</v>
      </c>
      <c r="O507" s="66">
        <f t="shared" si="30"/>
        <v>12569.92</v>
      </c>
    </row>
    <row r="508" spans="1:15" ht="168" x14ac:dyDescent="0.2">
      <c r="A508" s="67" t="s">
        <v>291</v>
      </c>
      <c r="B508" s="61" t="s">
        <v>152</v>
      </c>
      <c r="C508" s="61" t="s">
        <v>149</v>
      </c>
      <c r="D508" s="62" t="s">
        <v>292</v>
      </c>
      <c r="E508" s="71" t="s">
        <v>177</v>
      </c>
      <c r="F508" s="72">
        <v>2612</v>
      </c>
      <c r="G508" s="73" t="s">
        <v>197</v>
      </c>
      <c r="H508" s="74">
        <f>[1]!'@CTA[8-2-1-2-6-2612,F,8,#6]'</f>
        <v>0</v>
      </c>
      <c r="I508" s="74">
        <f>[1]!'@CTA[8-2-3-2-6-2612,F,8,#6]'</f>
        <v>0</v>
      </c>
      <c r="J508" s="75">
        <f>[1]!'@CTA[8-2-1-2-6-2612,F,8,#6]'+[1]!'@CTA[8-2-3-2-6-2612,F,8,#6]'</f>
        <v>0</v>
      </c>
      <c r="K508" s="76">
        <f>[1]!'@CTA[8-2-4-2-6-2612,J,8,#6]'</f>
        <v>0</v>
      </c>
      <c r="L508" s="76">
        <f>[1]!'@CTA[8-2-5-2-6-2612,J,8,#6]'</f>
        <v>0</v>
      </c>
      <c r="M508" s="76">
        <f>[1]!'@CTA[8-2-6-2-6-2612,J,8,#6]'</f>
        <v>0</v>
      </c>
      <c r="N508" s="74">
        <f>[1]!'@CTA[8-2-7-2-6-2612,F,8,#6]'</f>
        <v>0</v>
      </c>
      <c r="O508" s="66">
        <f t="shared" si="30"/>
        <v>0</v>
      </c>
    </row>
    <row r="509" spans="1:15" ht="168" x14ac:dyDescent="0.2">
      <c r="A509" s="67" t="s">
        <v>291</v>
      </c>
      <c r="B509" s="61" t="s">
        <v>152</v>
      </c>
      <c r="C509" s="61" t="s">
        <v>149</v>
      </c>
      <c r="D509" s="62" t="s">
        <v>292</v>
      </c>
      <c r="E509" s="71" t="s">
        <v>177</v>
      </c>
      <c r="F509" s="72">
        <v>2711</v>
      </c>
      <c r="G509" s="73" t="s">
        <v>198</v>
      </c>
      <c r="H509" s="74">
        <f>[1]!'@CTA[8-2-1-2-7-2711,F,8,#6]'</f>
        <v>7200</v>
      </c>
      <c r="I509" s="74">
        <f>[1]!'@CTA[8-2-3-2-7-2711,F,8,#6]'</f>
        <v>0</v>
      </c>
      <c r="J509" s="75">
        <f>[1]!'@CTA[8-2-1-2-7-2711,F,8,#6]'+[1]!'@CTA[8-2-3-2-7-2711,F,8,#6]'</f>
        <v>7200</v>
      </c>
      <c r="K509" s="76">
        <f>[1]!'@CTA[8-2-4-2-7-2711,J,8,#6]'</f>
        <v>1712.04</v>
      </c>
      <c r="L509" s="76">
        <f>[1]!'@CTA[8-2-5-2-7-2711,J,8,#6]'</f>
        <v>1712.04</v>
      </c>
      <c r="M509" s="76">
        <f>[1]!'@CTA[8-2-6-2-7-2711,J,8,#6]'</f>
        <v>1712.04</v>
      </c>
      <c r="N509" s="74">
        <f>[1]!'@CTA[8-2-7-2-7-2711,F,8,#6]'</f>
        <v>1712.04</v>
      </c>
      <c r="O509" s="66">
        <f t="shared" si="30"/>
        <v>5487.96</v>
      </c>
    </row>
    <row r="510" spans="1:15" ht="168" x14ac:dyDescent="0.2">
      <c r="A510" s="67" t="s">
        <v>291</v>
      </c>
      <c r="B510" s="61" t="s">
        <v>152</v>
      </c>
      <c r="C510" s="61" t="s">
        <v>149</v>
      </c>
      <c r="D510" s="62" t="s">
        <v>292</v>
      </c>
      <c r="E510" s="71" t="s">
        <v>177</v>
      </c>
      <c r="F510" s="72">
        <v>2712</v>
      </c>
      <c r="G510" s="73" t="s">
        <v>199</v>
      </c>
      <c r="H510" s="74">
        <f>[1]!'@CTA[8-2-1-2-7-2712,F,8,#6]'</f>
        <v>0</v>
      </c>
      <c r="I510" s="74">
        <f>[1]!'@CTA[8-2-3-2-7-2712,F,8,#6]'</f>
        <v>0</v>
      </c>
      <c r="J510" s="75">
        <f>[1]!'@CTA[8-2-1-2-7-2712,F,8,#6]'+[1]!'@CTA[8-2-3-2-7-2712,F,8,#6]'</f>
        <v>0</v>
      </c>
      <c r="K510" s="76">
        <f>[1]!'@CTA[8-2-4-2-7-2712,J,8,#6]'</f>
        <v>0</v>
      </c>
      <c r="L510" s="76">
        <f>[1]!'@CTA[8-2-5-2-7-2712,J,8,#6]'</f>
        <v>0</v>
      </c>
      <c r="M510" s="76">
        <f>[1]!'@CTA[8-2-6-2-7-2712,J,8,#6]'</f>
        <v>0</v>
      </c>
      <c r="N510" s="74">
        <f>[1]!'@CTA[8-2-7-2-7-2712,F,8,#6]'</f>
        <v>0</v>
      </c>
      <c r="O510" s="66">
        <f t="shared" si="30"/>
        <v>0</v>
      </c>
    </row>
    <row r="511" spans="1:15" ht="168" x14ac:dyDescent="0.2">
      <c r="A511" s="67" t="s">
        <v>291</v>
      </c>
      <c r="B511" s="61" t="s">
        <v>152</v>
      </c>
      <c r="C511" s="61" t="s">
        <v>149</v>
      </c>
      <c r="D511" s="62" t="s">
        <v>292</v>
      </c>
      <c r="E511" s="71" t="s">
        <v>177</v>
      </c>
      <c r="F511" s="72">
        <v>2721</v>
      </c>
      <c r="G511" s="73" t="s">
        <v>200</v>
      </c>
      <c r="H511" s="74">
        <f>[1]!'@CTA[8-2-1-2-7-2721,F,8,#6]'</f>
        <v>0</v>
      </c>
      <c r="I511" s="74">
        <f>[1]!'@CTA[8-2-3-2-7-2721,F,8,#6]'</f>
        <v>0</v>
      </c>
      <c r="J511" s="75">
        <f>[1]!'@CTA[8-2-1-2-7-2721,F,8,#6]'+[1]!'@CTA[8-2-3-2-7-2721,F,8,#6]'</f>
        <v>0</v>
      </c>
      <c r="K511" s="76">
        <f>[1]!'@CTA[8-2-4-2-7-2721,J,8,#6]'</f>
        <v>120</v>
      </c>
      <c r="L511" s="76">
        <f>[1]!'@CTA[8-2-5-2-7-2721,J,8,#6]'</f>
        <v>120</v>
      </c>
      <c r="M511" s="76">
        <f>[1]!'@CTA[8-2-6-2-7-2721,J,8,#6]'</f>
        <v>120</v>
      </c>
      <c r="N511" s="74">
        <f>[1]!'@CTA[8-2-7-2-7-2721,F,8,#6]'</f>
        <v>120</v>
      </c>
      <c r="O511" s="66">
        <f t="shared" si="30"/>
        <v>-120</v>
      </c>
    </row>
    <row r="512" spans="1:15" ht="168" x14ac:dyDescent="0.2">
      <c r="A512" s="67" t="s">
        <v>291</v>
      </c>
      <c r="B512" s="61" t="s">
        <v>152</v>
      </c>
      <c r="C512" s="61" t="s">
        <v>149</v>
      </c>
      <c r="D512" s="62" t="s">
        <v>292</v>
      </c>
      <c r="E512" s="71" t="s">
        <v>177</v>
      </c>
      <c r="F512" s="72">
        <v>2731</v>
      </c>
      <c r="G512" s="73" t="s">
        <v>201</v>
      </c>
      <c r="H512" s="74">
        <f>[1]!'@CTA[8-2-1-2-7-2731,F,8,#6]'</f>
        <v>0</v>
      </c>
      <c r="I512" s="74">
        <f>[1]!'@CTA[8-2-3-2-7-2731,F,8,#6]'</f>
        <v>0</v>
      </c>
      <c r="J512" s="75">
        <f>[1]!'@CTA[8-2-1-2-7-2731,F,8,#6]'+[1]!'@CTA[8-2-3-2-7-2731,F,8,#6]'</f>
        <v>0</v>
      </c>
      <c r="K512" s="76">
        <f>[1]!'@CTA[8-2-4-2-7-2731,J,8,#6]'</f>
        <v>0</v>
      </c>
      <c r="L512" s="76">
        <f>[1]!'@CTA[8-2-5-2-7-2731,J,8,#6]'</f>
        <v>0</v>
      </c>
      <c r="M512" s="76">
        <f>[1]!'@CTA[8-2-6-2-7-2731,J,8,#6]'</f>
        <v>0</v>
      </c>
      <c r="N512" s="74">
        <f>[1]!'@CTA[8-2-7-2-7-2731,F,8,#6]'</f>
        <v>0</v>
      </c>
      <c r="O512" s="66">
        <f t="shared" si="30"/>
        <v>0</v>
      </c>
    </row>
    <row r="513" spans="1:15" ht="168" x14ac:dyDescent="0.2">
      <c r="A513" s="67" t="s">
        <v>291</v>
      </c>
      <c r="B513" s="61" t="s">
        <v>152</v>
      </c>
      <c r="C513" s="61" t="s">
        <v>149</v>
      </c>
      <c r="D513" s="62" t="s">
        <v>292</v>
      </c>
      <c r="E513" s="71" t="s">
        <v>177</v>
      </c>
      <c r="F513" s="72">
        <v>2911</v>
      </c>
      <c r="G513" s="73" t="s">
        <v>202</v>
      </c>
      <c r="H513" s="74">
        <f>[1]!'@CTA[8-2-1-2-9-2911,F,8,#6]'</f>
        <v>3000</v>
      </c>
      <c r="I513" s="74">
        <f>[1]!'@CTA[8-2-3-2-9-2911,F,8,#6]'</f>
        <v>0</v>
      </c>
      <c r="J513" s="75">
        <f>[1]!'@CTA[8-2-1-2-9-2911,F,8,#6]'+[1]!'@CTA[8-2-3-2-9-2911,F,8,#6]'</f>
        <v>3000</v>
      </c>
      <c r="K513" s="76">
        <f>[1]!'@CTA[8-2-4-2-9-2911,J,8,#6]'</f>
        <v>826.22</v>
      </c>
      <c r="L513" s="76">
        <f>[1]!'@CTA[8-2-5-2-9-2911,J,8,#6]'</f>
        <v>826.22</v>
      </c>
      <c r="M513" s="76">
        <f>[1]!'@CTA[8-2-6-2-9-2911,J,8,#6]'</f>
        <v>826.22</v>
      </c>
      <c r="N513" s="74">
        <f>[1]!'@CTA[8-2-7-2-9-2911,F,8,#6]'</f>
        <v>826.21999999999912</v>
      </c>
      <c r="O513" s="66">
        <f t="shared" si="30"/>
        <v>2173.7799999999997</v>
      </c>
    </row>
    <row r="514" spans="1:15" ht="168" x14ac:dyDescent="0.2">
      <c r="A514" s="67" t="s">
        <v>291</v>
      </c>
      <c r="B514" s="61"/>
      <c r="C514" s="61" t="s">
        <v>149</v>
      </c>
      <c r="D514" s="62" t="s">
        <v>292</v>
      </c>
      <c r="E514" s="61"/>
      <c r="F514" s="63">
        <v>3000</v>
      </c>
      <c r="G514" s="77" t="s">
        <v>203</v>
      </c>
      <c r="H514" s="69">
        <f t="shared" ref="H514:N514" si="35">SUBTOTAL(9,H515:H564)</f>
        <v>381883</v>
      </c>
      <c r="I514" s="69">
        <f t="shared" si="35"/>
        <v>-69230.069999999992</v>
      </c>
      <c r="J514" s="69">
        <f t="shared" si="35"/>
        <v>312652.92999999993</v>
      </c>
      <c r="K514" s="70">
        <f t="shared" si="35"/>
        <v>72795.23</v>
      </c>
      <c r="L514" s="70">
        <f t="shared" si="35"/>
        <v>72795.23</v>
      </c>
      <c r="M514" s="70">
        <f t="shared" si="35"/>
        <v>72795.23</v>
      </c>
      <c r="N514" s="69">
        <f t="shared" si="35"/>
        <v>71811.290000000052</v>
      </c>
      <c r="O514" s="66">
        <f t="shared" si="30"/>
        <v>239857.69999999995</v>
      </c>
    </row>
    <row r="515" spans="1:15" ht="168" x14ac:dyDescent="0.2">
      <c r="A515" s="67" t="s">
        <v>291</v>
      </c>
      <c r="B515" s="61" t="s">
        <v>152</v>
      </c>
      <c r="C515" s="61" t="s">
        <v>149</v>
      </c>
      <c r="D515" s="62" t="s">
        <v>292</v>
      </c>
      <c r="E515" s="71" t="s">
        <v>177</v>
      </c>
      <c r="F515" s="72">
        <v>3111</v>
      </c>
      <c r="G515" s="73" t="s">
        <v>204</v>
      </c>
      <c r="H515" s="74">
        <f>[1]!'@CTA[8-2-1-3-1-3111,F,8,#6]'</f>
        <v>5605</v>
      </c>
      <c r="I515" s="74">
        <f>[1]!'@CTA[8-2-3-3-1-3111,F,8,#6]'</f>
        <v>0</v>
      </c>
      <c r="J515" s="75">
        <f>[1]!'@CTA[8-2-1-3-1-3111,F,8,#6]'+[1]!'@CTA[8-2-3-3-1-3111,F,8,#6]'</f>
        <v>5605</v>
      </c>
      <c r="K515" s="76">
        <f>[1]!'@CTA[8-2-4-3-1-3111,J,8,#6]'</f>
        <v>2187.19</v>
      </c>
      <c r="L515" s="76">
        <f>[1]!'@CTA[8-2-5-3-1-3111,J,8,#6]'</f>
        <v>2187.19</v>
      </c>
      <c r="M515" s="76">
        <f>[1]!'@CTA[8-2-6-3-1-3111,J,8,#6]'</f>
        <v>2187.19</v>
      </c>
      <c r="N515" s="74">
        <f>[1]!'@CTA[8-2-7-3-1-3111,F,8,#6]'</f>
        <v>2187.19</v>
      </c>
      <c r="O515" s="66">
        <f t="shared" si="30"/>
        <v>3417.81</v>
      </c>
    </row>
    <row r="516" spans="1:15" ht="168" x14ac:dyDescent="0.2">
      <c r="A516" s="67" t="s">
        <v>291</v>
      </c>
      <c r="B516" s="61" t="s">
        <v>152</v>
      </c>
      <c r="C516" s="61" t="s">
        <v>149</v>
      </c>
      <c r="D516" s="62" t="s">
        <v>292</v>
      </c>
      <c r="E516" s="71" t="s">
        <v>177</v>
      </c>
      <c r="F516" s="72">
        <v>3131</v>
      </c>
      <c r="G516" s="73" t="s">
        <v>205</v>
      </c>
      <c r="H516" s="74">
        <f>[1]!'@CTA[8-2-1-3-1-3131,F,8,#6]'</f>
        <v>960</v>
      </c>
      <c r="I516" s="74">
        <f>[1]!'@CTA[8-2-3-3-1-3131,F,8,#6]'</f>
        <v>0</v>
      </c>
      <c r="J516" s="75">
        <f>[1]!'@CTA[8-2-1-3-1-3131,F,8,#6]'+[1]!'@CTA[8-2-3-3-1-3131,F,8,#6]'</f>
        <v>960</v>
      </c>
      <c r="K516" s="76">
        <f>[1]!'@CTA[8-2-4-3-1-3131,J,8,#6]'</f>
        <v>182.4</v>
      </c>
      <c r="L516" s="76">
        <f>[1]!'@CTA[8-2-5-3-1-3131,J,8,#6]'</f>
        <v>182.4</v>
      </c>
      <c r="M516" s="76">
        <f>[1]!'@CTA[8-2-6-3-1-3131,J,8,#6]'</f>
        <v>182.4</v>
      </c>
      <c r="N516" s="74">
        <f>[1]!'@CTA[8-2-7-3-1-3131,F,8,#6]'</f>
        <v>182.39999999999989</v>
      </c>
      <c r="O516" s="66">
        <f t="shared" si="30"/>
        <v>777.6</v>
      </c>
    </row>
    <row r="517" spans="1:15" ht="168" x14ac:dyDescent="0.2">
      <c r="A517" s="67" t="s">
        <v>291</v>
      </c>
      <c r="B517" s="61" t="s">
        <v>152</v>
      </c>
      <c r="C517" s="61" t="s">
        <v>149</v>
      </c>
      <c r="D517" s="62" t="s">
        <v>292</v>
      </c>
      <c r="E517" s="71" t="s">
        <v>177</v>
      </c>
      <c r="F517" s="72">
        <v>3141</v>
      </c>
      <c r="G517" s="73" t="s">
        <v>206</v>
      </c>
      <c r="H517" s="74">
        <f>[1]!'@CTA[8-2-1-3-1-3141,F,8,#6]'</f>
        <v>2940</v>
      </c>
      <c r="I517" s="74">
        <f>[1]!'@CTA[8-2-3-3-1-3141,F,8,#6]'</f>
        <v>466.96</v>
      </c>
      <c r="J517" s="75">
        <f>[1]!'@CTA[8-2-1-3-1-3141,F,8,#6]'+[1]!'@CTA[8-2-3-3-1-3141,F,8,#6]'</f>
        <v>3406.96</v>
      </c>
      <c r="K517" s="76">
        <f>[1]!'@CTA[8-2-4-3-1-3141,J,8,#6]'</f>
        <v>1090.98</v>
      </c>
      <c r="L517" s="76">
        <f>[1]!'@CTA[8-2-5-3-1-3141,J,8,#6]'</f>
        <v>1090.98</v>
      </c>
      <c r="M517" s="76">
        <f>[1]!'@CTA[8-2-6-3-1-3141,J,8,#6]'</f>
        <v>1090.98</v>
      </c>
      <c r="N517" s="74">
        <f>[1]!'@CTA[8-2-7-3-1-3141,F,8,#6]'</f>
        <v>950.67000000000053</v>
      </c>
      <c r="O517" s="66">
        <f t="shared" si="30"/>
        <v>2315.98</v>
      </c>
    </row>
    <row r="518" spans="1:15" ht="168" x14ac:dyDescent="0.2">
      <c r="A518" s="67" t="s">
        <v>291</v>
      </c>
      <c r="B518" s="61" t="s">
        <v>152</v>
      </c>
      <c r="C518" s="61" t="s">
        <v>149</v>
      </c>
      <c r="D518" s="62" t="s">
        <v>292</v>
      </c>
      <c r="E518" s="71" t="s">
        <v>177</v>
      </c>
      <c r="F518" s="72">
        <v>3161</v>
      </c>
      <c r="G518" s="73" t="s">
        <v>207</v>
      </c>
      <c r="H518" s="74">
        <f>[1]!'@CTA[8-2-1-3-1-3161,F,8,#6]'</f>
        <v>0</v>
      </c>
      <c r="I518" s="74">
        <f>[1]!'@CTA[8-2-3-3-1-3161,F,8,#6]'</f>
        <v>0</v>
      </c>
      <c r="J518" s="75">
        <f>[1]!'@CTA[8-2-1-3-1-3161,F,8,#6]'+[1]!'@CTA[8-2-3-3-1-3161,F,8,#6]'</f>
        <v>0</v>
      </c>
      <c r="K518" s="76">
        <f>[1]!'@CTA[8-2-4-3-1-3161,J,8,#6]'</f>
        <v>0</v>
      </c>
      <c r="L518" s="76">
        <f>[1]!'@CTA[8-2-5-3-1-3161,J,8,#6]'</f>
        <v>0</v>
      </c>
      <c r="M518" s="76">
        <f>[1]!'@CTA[8-2-6-3-1-3161,J,8,#6]'</f>
        <v>0</v>
      </c>
      <c r="N518" s="74">
        <f>[1]!'@CTA[8-2-7-3-1-3161,F,8,#6]'</f>
        <v>0</v>
      </c>
      <c r="O518" s="66">
        <f t="shared" ref="O518:O583" si="36">J518-L518</f>
        <v>0</v>
      </c>
    </row>
    <row r="519" spans="1:15" ht="168" x14ac:dyDescent="0.2">
      <c r="A519" s="67" t="s">
        <v>291</v>
      </c>
      <c r="B519" s="61" t="s">
        <v>152</v>
      </c>
      <c r="C519" s="61" t="s">
        <v>149</v>
      </c>
      <c r="D519" s="62" t="s">
        <v>292</v>
      </c>
      <c r="E519" s="71" t="s">
        <v>177</v>
      </c>
      <c r="F519" s="72">
        <v>3171</v>
      </c>
      <c r="G519" s="73" t="s">
        <v>208</v>
      </c>
      <c r="H519" s="74">
        <f>[1]!'@CTA[8-2-1-3-1-3171,F,8,#6]'</f>
        <v>655</v>
      </c>
      <c r="I519" s="74">
        <f>[1]!'@CTA[8-2-3-3-1-3171,F,8,#6]'</f>
        <v>0</v>
      </c>
      <c r="J519" s="75">
        <f>[1]!'@CTA[8-2-1-3-1-3171,F,8,#6]'+[1]!'@CTA[8-2-3-3-1-3171,F,8,#6]'</f>
        <v>655</v>
      </c>
      <c r="K519" s="76">
        <f>[1]!'@CTA[8-2-4-3-1-3171,J,8,#6]'</f>
        <v>0</v>
      </c>
      <c r="L519" s="76">
        <f>[1]!'@CTA[8-2-5-3-1-3171,J,8,#6]'</f>
        <v>0</v>
      </c>
      <c r="M519" s="76">
        <f>[1]!'@CTA[8-2-6-3-1-3171,J,8,#6]'</f>
        <v>0</v>
      </c>
      <c r="N519" s="74">
        <f>[1]!'@CTA[8-2-7-3-1-3171,F,8,#6]'</f>
        <v>0</v>
      </c>
      <c r="O519" s="66">
        <f t="shared" si="36"/>
        <v>655</v>
      </c>
    </row>
    <row r="520" spans="1:15" ht="168" x14ac:dyDescent="0.2">
      <c r="A520" s="67" t="s">
        <v>291</v>
      </c>
      <c r="B520" s="61" t="s">
        <v>152</v>
      </c>
      <c r="C520" s="61" t="s">
        <v>149</v>
      </c>
      <c r="D520" s="62" t="s">
        <v>292</v>
      </c>
      <c r="E520" s="71" t="s">
        <v>177</v>
      </c>
      <c r="F520" s="72">
        <v>3181</v>
      </c>
      <c r="G520" s="73" t="s">
        <v>209</v>
      </c>
      <c r="H520" s="74">
        <f>[1]!'@CTA[8-2-1-3-1-3181,F,8,#6]'</f>
        <v>0</v>
      </c>
      <c r="I520" s="74">
        <f>[1]!'@CTA[8-2-3-3-1-3181,F,8,#6]'</f>
        <v>0</v>
      </c>
      <c r="J520" s="75">
        <f>[1]!'@CTA[8-2-1-3-1-3181,F,8,#6]'+[1]!'@CTA[8-2-3-3-1-3181,F,8,#6]'</f>
        <v>0</v>
      </c>
      <c r="K520" s="76">
        <f>[1]!'@CTA[8-2-4-3-1-3181,J,8,#6]'</f>
        <v>0</v>
      </c>
      <c r="L520" s="76">
        <f>[1]!'@CTA[8-2-5-3-1-3181,J,8,#6]'</f>
        <v>0</v>
      </c>
      <c r="M520" s="76">
        <f>[1]!'@CTA[8-2-6-3-1-3181,J,8,#6]'</f>
        <v>0</v>
      </c>
      <c r="N520" s="74">
        <f>[1]!'@CTA[8-2-7-3-1-3181,F,8,#6]'</f>
        <v>0</v>
      </c>
      <c r="O520" s="66">
        <f t="shared" si="36"/>
        <v>0</v>
      </c>
    </row>
    <row r="521" spans="1:15" ht="168" x14ac:dyDescent="0.2">
      <c r="A521" s="67" t="s">
        <v>291</v>
      </c>
      <c r="B521" s="61" t="s">
        <v>152</v>
      </c>
      <c r="C521" s="61" t="s">
        <v>149</v>
      </c>
      <c r="D521" s="62" t="s">
        <v>292</v>
      </c>
      <c r="E521" s="71" t="s">
        <v>177</v>
      </c>
      <c r="F521" s="72">
        <v>3182</v>
      </c>
      <c r="G521" s="73" t="s">
        <v>210</v>
      </c>
      <c r="H521" s="74">
        <f>[1]!'@CTA[8-2-1-3-1-3182,F,8,#6]'</f>
        <v>0</v>
      </c>
      <c r="I521" s="74">
        <f>[1]!'@CTA[8-2-3-3-1-3182,F,8,#6]'</f>
        <v>0</v>
      </c>
      <c r="J521" s="75">
        <f>[1]!'@CTA[8-2-1-3-1-3182,F,8,#6]'+[1]!'@CTA[8-2-3-3-1-3182,F,8,#6]'</f>
        <v>0</v>
      </c>
      <c r="K521" s="76">
        <f>[1]!'@CTA[8-2-4-3-1-3182,J,8,#6]'</f>
        <v>0</v>
      </c>
      <c r="L521" s="76">
        <f>[1]!'@CTA[8-2-5-3-1-3182,J,8,#6]'</f>
        <v>0</v>
      </c>
      <c r="M521" s="76">
        <f>[1]!'@CTA[8-2-6-3-1-3182,J,8,#6]'</f>
        <v>0</v>
      </c>
      <c r="N521" s="74">
        <f>[1]!'@CTA[8-2-7-3-1-3182,F,8,#6]'</f>
        <v>0</v>
      </c>
      <c r="O521" s="66">
        <f t="shared" si="36"/>
        <v>0</v>
      </c>
    </row>
    <row r="522" spans="1:15" ht="168" x14ac:dyDescent="0.2">
      <c r="A522" s="67" t="s">
        <v>291</v>
      </c>
      <c r="B522" s="61" t="s">
        <v>152</v>
      </c>
      <c r="C522" s="61" t="s">
        <v>149</v>
      </c>
      <c r="D522" s="62" t="s">
        <v>292</v>
      </c>
      <c r="E522" s="71" t="s">
        <v>211</v>
      </c>
      <c r="F522" s="72">
        <v>3211</v>
      </c>
      <c r="G522" s="73" t="s">
        <v>212</v>
      </c>
      <c r="H522" s="74">
        <f>[1]!'@CTA[8-2-1-3-2-3211,F,8,#6]'</f>
        <v>0</v>
      </c>
      <c r="I522" s="74">
        <f>[1]!'@CTA[8-2-3-3-2-3211,F,8,#6]'</f>
        <v>0</v>
      </c>
      <c r="J522" s="75">
        <f>[1]!'@CTA[8-2-1-3-2-3211,F,8,#6]'+[1]!'@CTA[8-2-3-3-2-3211,F,8,#6]'</f>
        <v>0</v>
      </c>
      <c r="K522" s="76">
        <f>[1]!'@CTA[8-2-4-3-2-3211,J,8,#6]'</f>
        <v>0</v>
      </c>
      <c r="L522" s="76">
        <f>[1]!'@CTA[8-2-5-3-2-3211,J,8,#6]'</f>
        <v>0</v>
      </c>
      <c r="M522" s="76">
        <f>[1]!'@CTA[8-2-6-3-2-3211,J,8,#6]'</f>
        <v>0</v>
      </c>
      <c r="N522" s="74">
        <f>[1]!'@CTA[8-2-7-3-2-3211,F,8,#6]'</f>
        <v>0</v>
      </c>
      <c r="O522" s="66">
        <f t="shared" si="36"/>
        <v>0</v>
      </c>
    </row>
    <row r="523" spans="1:15" ht="168" x14ac:dyDescent="0.2">
      <c r="A523" s="67" t="s">
        <v>291</v>
      </c>
      <c r="B523" s="61" t="s">
        <v>152</v>
      </c>
      <c r="C523" s="61" t="s">
        <v>149</v>
      </c>
      <c r="D523" s="62" t="s">
        <v>292</v>
      </c>
      <c r="E523" s="71" t="s">
        <v>177</v>
      </c>
      <c r="F523" s="72">
        <v>3231</v>
      </c>
      <c r="G523" s="73" t="s">
        <v>213</v>
      </c>
      <c r="H523" s="74">
        <f>[1]!'@CTA[8-2-1-3-2-3231,F,8,#6]'</f>
        <v>0</v>
      </c>
      <c r="I523" s="74">
        <f>[1]!'@CTA[8-2-3-3-2-3231,F,8,#6]'</f>
        <v>0</v>
      </c>
      <c r="J523" s="75">
        <f>[1]!'@CTA[8-2-1-3-2-3231,F,8,#6]'+[1]!'@CTA[8-2-3-3-2-3231,F,8,#6]'</f>
        <v>0</v>
      </c>
      <c r="K523" s="76">
        <f>[1]!'@CTA[8-2-4-3-2-3231,J,8,#6]'</f>
        <v>0</v>
      </c>
      <c r="L523" s="76">
        <f>[1]!'@CTA[8-2-5-3-2-3231,J,8,#6]'</f>
        <v>0</v>
      </c>
      <c r="M523" s="76">
        <f>[1]!'@CTA[8-2-6-3-2-3231,J,8,#6]'</f>
        <v>0</v>
      </c>
      <c r="N523" s="74">
        <f>[1]!'@CTA[8-2-7-3-2-3231,F,8,#6]'</f>
        <v>0</v>
      </c>
      <c r="O523" s="66">
        <f t="shared" si="36"/>
        <v>0</v>
      </c>
    </row>
    <row r="524" spans="1:15" ht="168" x14ac:dyDescent="0.2">
      <c r="A524" s="67" t="s">
        <v>291</v>
      </c>
      <c r="B524" s="61" t="s">
        <v>152</v>
      </c>
      <c r="C524" s="61" t="s">
        <v>149</v>
      </c>
      <c r="D524" s="62" t="s">
        <v>292</v>
      </c>
      <c r="E524" s="71" t="s">
        <v>177</v>
      </c>
      <c r="F524" s="72">
        <v>3261</v>
      </c>
      <c r="G524" s="73" t="s">
        <v>214</v>
      </c>
      <c r="H524" s="74">
        <f>[1]!'@CTA[8-2-1-3-2-3261,F,8,#6]'</f>
        <v>0</v>
      </c>
      <c r="I524" s="74">
        <f>[1]!'@CTA[8-2-3-3-2-3261,F,8,#6]'</f>
        <v>0</v>
      </c>
      <c r="J524" s="75">
        <f>[1]!'@CTA[8-2-1-3-2-3261,F,8,#6]'+[1]!'@CTA[8-2-3-3-2-3261,F,8,#6]'</f>
        <v>0</v>
      </c>
      <c r="K524" s="76">
        <f>[1]!'@CTA[8-2-4-3-2-3261,J,8,#6]'</f>
        <v>0</v>
      </c>
      <c r="L524" s="76">
        <f>[1]!'@CTA[8-2-5-3-2-3261,J,8,#6]'</f>
        <v>0</v>
      </c>
      <c r="M524" s="76">
        <f>[1]!'@CTA[8-2-6-3-2-3261,J,8,#6]'</f>
        <v>0</v>
      </c>
      <c r="N524" s="74">
        <f>[1]!'@CTA[8-2-7-3-2-3261,F,8,#6]'</f>
        <v>0</v>
      </c>
      <c r="O524" s="66">
        <f t="shared" si="36"/>
        <v>0</v>
      </c>
    </row>
    <row r="525" spans="1:15" ht="168" x14ac:dyDescent="0.2">
      <c r="A525" s="67" t="s">
        <v>291</v>
      </c>
      <c r="B525" s="61" t="s">
        <v>152</v>
      </c>
      <c r="C525" s="61" t="s">
        <v>149</v>
      </c>
      <c r="D525" s="62" t="s">
        <v>292</v>
      </c>
      <c r="E525" s="71" t="s">
        <v>177</v>
      </c>
      <c r="F525" s="72">
        <v>3291</v>
      </c>
      <c r="G525" s="73" t="s">
        <v>215</v>
      </c>
      <c r="H525" s="74">
        <f>[1]!'@CTA[8-2-1-3-2-3291,F,8,#6]'</f>
        <v>19200</v>
      </c>
      <c r="I525" s="74">
        <f>[1]!'@CTA[8-2-3-3-2-3291,F,8,#6]'</f>
        <v>0</v>
      </c>
      <c r="J525" s="75">
        <f>[1]!'@CTA[8-2-1-3-2-3291,F,8,#6]'+[1]!'@CTA[8-2-3-3-2-3291,F,8,#6]'</f>
        <v>19200</v>
      </c>
      <c r="K525" s="76">
        <f>[1]!'@CTA[8-2-4-3-2-3291,J,8,#6]'</f>
        <v>0</v>
      </c>
      <c r="L525" s="76">
        <f>[1]!'@CTA[8-2-5-3-2-3291,J,8,#6]'</f>
        <v>0</v>
      </c>
      <c r="M525" s="76">
        <f>[1]!'@CTA[8-2-6-3-2-3291,J,8,#6]'</f>
        <v>0</v>
      </c>
      <c r="N525" s="74">
        <f>[1]!'@CTA[8-2-7-3-2-3291,F,8,#6]'</f>
        <v>0</v>
      </c>
      <c r="O525" s="66">
        <f t="shared" si="36"/>
        <v>19200</v>
      </c>
    </row>
    <row r="526" spans="1:15" ht="168" x14ac:dyDescent="0.2">
      <c r="A526" s="67" t="s">
        <v>291</v>
      </c>
      <c r="B526" s="61" t="s">
        <v>152</v>
      </c>
      <c r="C526" s="61" t="s">
        <v>149</v>
      </c>
      <c r="D526" s="62" t="s">
        <v>292</v>
      </c>
      <c r="E526" s="71" t="s">
        <v>177</v>
      </c>
      <c r="F526" s="72">
        <v>3311</v>
      </c>
      <c r="G526" s="73" t="s">
        <v>216</v>
      </c>
      <c r="H526" s="74">
        <f>[1]!'@CTA[8-2-1-3-3-3311,F,8,#6]'</f>
        <v>0</v>
      </c>
      <c r="I526" s="74">
        <f>[1]!'@CTA[8-2-3-3-3-3311,F,8,#6]'</f>
        <v>0</v>
      </c>
      <c r="J526" s="75">
        <f>[1]!'@CTA[8-2-1-3-3-3311,F,8,#6]'+[1]!'@CTA[8-2-3-3-3-3311,F,8,#6]'</f>
        <v>0</v>
      </c>
      <c r="K526" s="76">
        <f>[1]!'@CTA[8-2-4-3-3-3311,J,8,#6]'</f>
        <v>0</v>
      </c>
      <c r="L526" s="76">
        <f>[1]!'@CTA[8-2-5-3-3-3311,J,8,#6]'</f>
        <v>0</v>
      </c>
      <c r="M526" s="76">
        <f>[1]!'@CTA[8-2-6-3-3-3311,J,8,#6]'</f>
        <v>0</v>
      </c>
      <c r="N526" s="74">
        <f>[1]!'@CTA[8-2-7-3-3-3311,F,8,#6]'</f>
        <v>0</v>
      </c>
      <c r="O526" s="66">
        <f t="shared" si="36"/>
        <v>0</v>
      </c>
    </row>
    <row r="527" spans="1:15" ht="168" x14ac:dyDescent="0.2">
      <c r="A527" s="67" t="s">
        <v>291</v>
      </c>
      <c r="B527" s="61" t="s">
        <v>152</v>
      </c>
      <c r="C527" s="61" t="s">
        <v>149</v>
      </c>
      <c r="D527" s="62" t="s">
        <v>292</v>
      </c>
      <c r="E527" s="71" t="s">
        <v>177</v>
      </c>
      <c r="F527" s="72">
        <v>3331</v>
      </c>
      <c r="G527" s="73" t="s">
        <v>217</v>
      </c>
      <c r="H527" s="74">
        <f>[1]!'@CTA[8-2-1-3-3-3331,F,8,#6]'</f>
        <v>0</v>
      </c>
      <c r="I527" s="74">
        <f>[1]!'@CTA[8-2-3-3-3-3331,F,8,#6]'</f>
        <v>0</v>
      </c>
      <c r="J527" s="75">
        <f>[1]!'@CTA[8-2-1-3-3-3331,F,8,#6]'+[1]!'@CTA[8-2-3-3-3-3331,F,8,#6]'</f>
        <v>0</v>
      </c>
      <c r="K527" s="76">
        <f>[1]!'@CTA[8-2-4-3-3-3331,J,8,#6]'</f>
        <v>0</v>
      </c>
      <c r="L527" s="76">
        <f>[1]!'@CTA[8-2-5-3-3-3331,J,8,#6]'</f>
        <v>0</v>
      </c>
      <c r="M527" s="76">
        <f>[1]!'@CTA[8-2-6-3-3-3331,J,8,#6]'</f>
        <v>0</v>
      </c>
      <c r="N527" s="74">
        <f>[1]!'@CTA[8-2-7-3-3-3331,F,8,#6]'</f>
        <v>0</v>
      </c>
      <c r="O527" s="66">
        <f t="shared" si="36"/>
        <v>0</v>
      </c>
    </row>
    <row r="528" spans="1:15" ht="168" x14ac:dyDescent="0.2">
      <c r="A528" s="67" t="s">
        <v>291</v>
      </c>
      <c r="B528" s="61" t="s">
        <v>152</v>
      </c>
      <c r="C528" s="61" t="s">
        <v>149</v>
      </c>
      <c r="D528" s="62" t="s">
        <v>292</v>
      </c>
      <c r="E528" s="71" t="s">
        <v>177</v>
      </c>
      <c r="F528" s="72">
        <v>3332</v>
      </c>
      <c r="G528" s="73" t="s">
        <v>218</v>
      </c>
      <c r="H528" s="74">
        <f>[1]!'@CTA[8-2-1-3-3-3332,F,8,#6]'</f>
        <v>0</v>
      </c>
      <c r="I528" s="74">
        <f>[1]!'@CTA[8-2-3-3-3-3332,F,8,#6]'</f>
        <v>0</v>
      </c>
      <c r="J528" s="75">
        <f>[1]!'@CTA[8-2-1-3-3-3332,F,8,#6]'+[1]!'@CTA[8-2-3-3-3-3332,F,8,#6]'</f>
        <v>0</v>
      </c>
      <c r="K528" s="76">
        <f>[1]!'@CTA[8-2-4-3-3-3332,J,8,#6]'</f>
        <v>0</v>
      </c>
      <c r="L528" s="76">
        <f>[1]!'@CTA[8-2-5-3-3-3332,J,8,#6]'</f>
        <v>0</v>
      </c>
      <c r="M528" s="76">
        <f>[1]!'@CTA[8-2-6-3-3-3332,J,8,#6]'</f>
        <v>0</v>
      </c>
      <c r="N528" s="74">
        <f>[1]!'@CTA[8-2-7-3-3-3332,F,8,#6]'</f>
        <v>0</v>
      </c>
      <c r="O528" s="66">
        <f t="shared" si="36"/>
        <v>0</v>
      </c>
    </row>
    <row r="529" spans="1:15" ht="168" x14ac:dyDescent="0.2">
      <c r="A529" s="67" t="s">
        <v>291</v>
      </c>
      <c r="B529" s="61" t="s">
        <v>152</v>
      </c>
      <c r="C529" s="61" t="s">
        <v>149</v>
      </c>
      <c r="D529" s="62" t="s">
        <v>292</v>
      </c>
      <c r="E529" s="71" t="s">
        <v>177</v>
      </c>
      <c r="F529" s="72">
        <v>3341</v>
      </c>
      <c r="G529" s="73" t="s">
        <v>219</v>
      </c>
      <c r="H529" s="74">
        <f>[1]!'@CTA[8-2-1-3-3-3341,F,8,#6]'</f>
        <v>4000</v>
      </c>
      <c r="I529" s="74">
        <f>[1]!'@CTA[8-2-3-3-3-3341,F,8,#6]'</f>
        <v>0</v>
      </c>
      <c r="J529" s="75">
        <f>[1]!'@CTA[8-2-1-3-3-3341,F,8,#6]'+[1]!'@CTA[8-2-3-3-3-3341,F,8,#6]'</f>
        <v>4000</v>
      </c>
      <c r="K529" s="76">
        <f>[1]!'@CTA[8-2-4-3-3-3341,J,8,#6]'</f>
        <v>0</v>
      </c>
      <c r="L529" s="76">
        <f>[1]!'@CTA[8-2-5-3-3-3341,J,8,#6]'</f>
        <v>0</v>
      </c>
      <c r="M529" s="76">
        <f>[1]!'@CTA[8-2-6-3-3-3341,J,8,#6]'</f>
        <v>0</v>
      </c>
      <c r="N529" s="74">
        <f>[1]!'@CTA[8-2-7-3-3-3341,F,8,#6]'</f>
        <v>0</v>
      </c>
      <c r="O529" s="66">
        <f t="shared" si="36"/>
        <v>4000</v>
      </c>
    </row>
    <row r="530" spans="1:15" ht="168" x14ac:dyDescent="0.2">
      <c r="A530" s="67" t="s">
        <v>291</v>
      </c>
      <c r="B530" s="61" t="s">
        <v>152</v>
      </c>
      <c r="C530" s="61" t="s">
        <v>149</v>
      </c>
      <c r="D530" s="62" t="s">
        <v>292</v>
      </c>
      <c r="E530" s="71" t="s">
        <v>177</v>
      </c>
      <c r="F530" s="72">
        <v>3381</v>
      </c>
      <c r="G530" s="73" t="s">
        <v>220</v>
      </c>
      <c r="H530" s="74">
        <f>[1]!'@CTA[8-2-1-3-3-3381,F,8,#6]'</f>
        <v>0</v>
      </c>
      <c r="I530" s="74">
        <f>[1]!'@CTA[8-2-3-3-3-3381,F,8,#6]'</f>
        <v>0</v>
      </c>
      <c r="J530" s="75">
        <f>[1]!'@CTA[8-2-1-3-3-3381,F,8,#6]'+[1]!'@CTA[8-2-3-3-3-3381,F,8,#6]'</f>
        <v>0</v>
      </c>
      <c r="K530" s="76">
        <f>[1]!'@CTA[8-2-4-3-3-3381,J,8,#6]'</f>
        <v>0</v>
      </c>
      <c r="L530" s="76">
        <f>[1]!'@CTA[8-2-5-3-3-3381,J,8,#6]'</f>
        <v>0</v>
      </c>
      <c r="M530" s="76">
        <f>[1]!'@CTA[8-2-6-3-3-3381,J,8,#6]'</f>
        <v>0</v>
      </c>
      <c r="N530" s="74">
        <f>[1]!'@CTA[8-2-7-3-3-3381,F,8,#6]'</f>
        <v>0</v>
      </c>
      <c r="O530" s="66">
        <f t="shared" si="36"/>
        <v>0</v>
      </c>
    </row>
    <row r="531" spans="1:15" ht="168" x14ac:dyDescent="0.2">
      <c r="A531" s="67" t="s">
        <v>291</v>
      </c>
      <c r="B531" s="61" t="s">
        <v>152</v>
      </c>
      <c r="C531" s="61" t="s">
        <v>149</v>
      </c>
      <c r="D531" s="62" t="s">
        <v>292</v>
      </c>
      <c r="E531" s="71" t="s">
        <v>177</v>
      </c>
      <c r="F531" s="72">
        <v>3391</v>
      </c>
      <c r="G531" s="73" t="s">
        <v>221</v>
      </c>
      <c r="H531" s="74">
        <f>[1]!'@CTA[8-2-1-3-3-3391,F,8,#6]'</f>
        <v>0</v>
      </c>
      <c r="I531" s="74">
        <f>[1]!'@CTA[8-2-3-3-3-3391,F,8,#6]'</f>
        <v>0</v>
      </c>
      <c r="J531" s="75">
        <f>[1]!'@CTA[8-2-1-3-3-3391,F,8,#6]'+[1]!'@CTA[8-2-3-3-3-3391,F,8,#6]'</f>
        <v>0</v>
      </c>
      <c r="K531" s="76">
        <f>[1]!'@CTA[8-2-4-3-3-3391,J,8,#6]'</f>
        <v>0</v>
      </c>
      <c r="L531" s="76">
        <f>[1]!'@CTA[8-2-5-3-3-3391,J,8,#6]'</f>
        <v>0</v>
      </c>
      <c r="M531" s="76">
        <f>[1]!'@CTA[8-2-6-3-3-3391,J,8,#6]'</f>
        <v>0</v>
      </c>
      <c r="N531" s="74">
        <f>[1]!'@CTA[8-2-7-3-3-3391,F,8,#6]'</f>
        <v>0</v>
      </c>
      <c r="O531" s="66">
        <f t="shared" si="36"/>
        <v>0</v>
      </c>
    </row>
    <row r="532" spans="1:15" ht="168" x14ac:dyDescent="0.2">
      <c r="A532" s="67" t="s">
        <v>291</v>
      </c>
      <c r="B532" s="61" t="s">
        <v>152</v>
      </c>
      <c r="C532" s="61" t="s">
        <v>149</v>
      </c>
      <c r="D532" s="62" t="s">
        <v>292</v>
      </c>
      <c r="E532" s="71" t="s">
        <v>177</v>
      </c>
      <c r="F532" s="72">
        <v>3411</v>
      </c>
      <c r="G532" s="73" t="s">
        <v>222</v>
      </c>
      <c r="H532" s="74">
        <f>[1]!'@CTA[8-2-1-3-4-3411,F,8,#6]'</f>
        <v>0</v>
      </c>
      <c r="I532" s="74">
        <f>[1]!'@CTA[8-2-3-3-4-3411,F,8,#6]'</f>
        <v>0</v>
      </c>
      <c r="J532" s="75">
        <f>[1]!'@CTA[8-2-1-3-4-3411,F,8,#6]'+[1]!'@CTA[8-2-3-3-4-3411,F,8,#6]'</f>
        <v>0</v>
      </c>
      <c r="K532" s="76">
        <f>[1]!'@CTA[8-2-4-3-4-3411,J,8,#6]'</f>
        <v>0</v>
      </c>
      <c r="L532" s="76">
        <f>[1]!'@CTA[8-2-5-3-4-3411,J,8,#6]'</f>
        <v>0</v>
      </c>
      <c r="M532" s="76">
        <f>[1]!'@CTA[8-2-6-3-4-3411,J,8,#6]'</f>
        <v>0</v>
      </c>
      <c r="N532" s="74">
        <f>[1]!'@CTA[8-2-7-3-4-3411,F,8,#6]'</f>
        <v>0</v>
      </c>
      <c r="O532" s="66">
        <f t="shared" si="36"/>
        <v>0</v>
      </c>
    </row>
    <row r="533" spans="1:15" ht="168" x14ac:dyDescent="0.2">
      <c r="A533" s="67" t="s">
        <v>291</v>
      </c>
      <c r="B533" s="61" t="s">
        <v>152</v>
      </c>
      <c r="C533" s="61" t="s">
        <v>149</v>
      </c>
      <c r="D533" s="62" t="s">
        <v>292</v>
      </c>
      <c r="E533" s="71" t="s">
        <v>177</v>
      </c>
      <c r="F533" s="72">
        <v>3431</v>
      </c>
      <c r="G533" s="73" t="s">
        <v>223</v>
      </c>
      <c r="H533" s="74">
        <f>[1]!'@CTA[8-2-1-3-4-3431,F,8,#6]'</f>
        <v>0</v>
      </c>
      <c r="I533" s="74">
        <f>[1]!'@CTA[8-2-3-3-4-3431,F,8,#6]'</f>
        <v>0</v>
      </c>
      <c r="J533" s="75">
        <f>[1]!'@CTA[8-2-1-3-4-3431,F,8,#6]'+[1]!'@CTA[8-2-3-3-4-3431,F,8,#6]'</f>
        <v>0</v>
      </c>
      <c r="K533" s="76">
        <f>[1]!'@CTA[8-2-4-3-4-3431,J,8,#6]'</f>
        <v>0</v>
      </c>
      <c r="L533" s="76">
        <f>[1]!'@CTA[8-2-5-3-4-3431,J,8,#6]'</f>
        <v>0</v>
      </c>
      <c r="M533" s="76">
        <f>[1]!'@CTA[8-2-6-3-4-3431,J,8,#6]'</f>
        <v>0</v>
      </c>
      <c r="N533" s="74">
        <f>[1]!'@CTA[8-2-7-3-4-3431,F,8,#6]'</f>
        <v>0</v>
      </c>
      <c r="O533" s="66">
        <f t="shared" si="36"/>
        <v>0</v>
      </c>
    </row>
    <row r="534" spans="1:15" ht="168" x14ac:dyDescent="0.2">
      <c r="A534" s="67" t="s">
        <v>291</v>
      </c>
      <c r="B534" s="61" t="s">
        <v>152</v>
      </c>
      <c r="C534" s="61" t="s">
        <v>149</v>
      </c>
      <c r="D534" s="62" t="s">
        <v>292</v>
      </c>
      <c r="E534" s="71" t="s">
        <v>177</v>
      </c>
      <c r="F534" s="72">
        <v>3451</v>
      </c>
      <c r="G534" s="73" t="s">
        <v>224</v>
      </c>
      <c r="H534" s="74">
        <f>[1]!'@CTA[8-2-1-3-4-3451,F,8,#6]'</f>
        <v>2920</v>
      </c>
      <c r="I534" s="74">
        <f>[1]!'@CTA[8-2-3-3-4-3451,F,8,#6]'</f>
        <v>0</v>
      </c>
      <c r="J534" s="75">
        <f>[1]!'@CTA[8-2-1-3-4-3451,F,8,#6]'+[1]!'@CTA[8-2-3-3-4-3451,F,8,#6]'</f>
        <v>2920</v>
      </c>
      <c r="K534" s="76">
        <f>[1]!'@CTA[8-2-4-3-4-3451,J,8,#6]'</f>
        <v>1143.4499999999998</v>
      </c>
      <c r="L534" s="76">
        <f>[1]!'@CTA[8-2-5-3-4-3451,J,8,#6]'</f>
        <v>1143.4499999999998</v>
      </c>
      <c r="M534" s="76">
        <f>[1]!'@CTA[8-2-6-3-4-3451,J,8,#6]'</f>
        <v>1143.4499999999998</v>
      </c>
      <c r="N534" s="74">
        <f>[1]!'@CTA[8-2-7-3-4-3451,F,8,#6]'</f>
        <v>1143.4499999999989</v>
      </c>
      <c r="O534" s="66">
        <f t="shared" si="36"/>
        <v>1776.5500000000002</v>
      </c>
    </row>
    <row r="535" spans="1:15" ht="168" x14ac:dyDescent="0.2">
      <c r="A535" s="67" t="s">
        <v>291</v>
      </c>
      <c r="B535" s="61" t="s">
        <v>152</v>
      </c>
      <c r="C535" s="61" t="s">
        <v>149</v>
      </c>
      <c r="D535" s="62" t="s">
        <v>292</v>
      </c>
      <c r="E535" s="71" t="s">
        <v>177</v>
      </c>
      <c r="F535" s="72">
        <v>3471</v>
      </c>
      <c r="G535" s="73" t="s">
        <v>225</v>
      </c>
      <c r="H535" s="74">
        <f>[1]!'@CTA[8-2-1-3-4-3471,F,8,#6]'</f>
        <v>0</v>
      </c>
      <c r="I535" s="74">
        <f>[1]!'@CTA[8-2-3-3-4-3471,F,8,#6]'</f>
        <v>0</v>
      </c>
      <c r="J535" s="75">
        <f>[1]!'@CTA[8-2-1-3-4-3471,F,8,#6]'+[1]!'@CTA[8-2-3-3-4-3471,F,8,#6]'</f>
        <v>0</v>
      </c>
      <c r="K535" s="76">
        <f>[1]!'@CTA[8-2-4-3-4-3471,J,8,#6]'</f>
        <v>275.14999999999998</v>
      </c>
      <c r="L535" s="76">
        <f>[1]!'@CTA[8-2-5-3-4-3471,J,8,#6]'</f>
        <v>275.14999999999998</v>
      </c>
      <c r="M535" s="76">
        <f>[1]!'@CTA[8-2-6-3-4-3471,J,8,#6]'</f>
        <v>275.14999999999998</v>
      </c>
      <c r="N535" s="74">
        <f>[1]!'@CTA[8-2-7-3-4-3471,F,8,#6]'</f>
        <v>275.14999999999998</v>
      </c>
      <c r="O535" s="66">
        <f t="shared" si="36"/>
        <v>-275.14999999999998</v>
      </c>
    </row>
    <row r="536" spans="1:15" ht="168" x14ac:dyDescent="0.2">
      <c r="A536" s="67" t="s">
        <v>291</v>
      </c>
      <c r="B536" s="61" t="s">
        <v>152</v>
      </c>
      <c r="C536" s="61" t="s">
        <v>149</v>
      </c>
      <c r="D536" s="62" t="s">
        <v>292</v>
      </c>
      <c r="E536" s="71" t="s">
        <v>177</v>
      </c>
      <c r="F536" s="72">
        <v>3491</v>
      </c>
      <c r="G536" s="73" t="s">
        <v>226</v>
      </c>
      <c r="H536" s="74">
        <f>[1]!'@CTA[8-2-1-3-4-3491,F,8,#6]'</f>
        <v>720</v>
      </c>
      <c r="I536" s="74">
        <f>[1]!'@CTA[8-2-3-3-4-3491,F,8,#6]'</f>
        <v>0</v>
      </c>
      <c r="J536" s="75">
        <f>[1]!'@CTA[8-2-1-3-4-3491,F,8,#6]'+[1]!'@CTA[8-2-3-3-4-3491,F,8,#6]'</f>
        <v>720</v>
      </c>
      <c r="K536" s="76">
        <f>[1]!'@CTA[8-2-4-3-4-3491,J,8,#6]'</f>
        <v>151.02000000000001</v>
      </c>
      <c r="L536" s="76">
        <f>[1]!'@CTA[8-2-5-3-4-3491,J,8,#6]'</f>
        <v>151.02000000000001</v>
      </c>
      <c r="M536" s="76">
        <f>[1]!'@CTA[8-2-6-3-4-3491,J,8,#6]'</f>
        <v>151.02000000000001</v>
      </c>
      <c r="N536" s="74">
        <f>[1]!'@CTA[8-2-7-3-4-3491,F,8,#6]'</f>
        <v>151.02000000000024</v>
      </c>
      <c r="O536" s="66">
        <f t="shared" si="36"/>
        <v>568.98</v>
      </c>
    </row>
    <row r="537" spans="1:15" ht="168" x14ac:dyDescent="0.2">
      <c r="A537" s="67" t="s">
        <v>291</v>
      </c>
      <c r="B537" s="61" t="s">
        <v>152</v>
      </c>
      <c r="C537" s="61" t="s">
        <v>149</v>
      </c>
      <c r="D537" s="62" t="s">
        <v>292</v>
      </c>
      <c r="E537" s="71" t="s">
        <v>177</v>
      </c>
      <c r="F537" s="72">
        <v>3511</v>
      </c>
      <c r="G537" s="73" t="s">
        <v>227</v>
      </c>
      <c r="H537" s="74">
        <f>[1]!'@CTA[8-2-1-3-5-3511,F,8,#6]'</f>
        <v>0</v>
      </c>
      <c r="I537" s="74">
        <f>[1]!'@CTA[8-2-3-3-5-3511,F,8,#6]'</f>
        <v>0</v>
      </c>
      <c r="J537" s="75">
        <f>[1]!'@CTA[8-2-1-3-5-3511,F,8,#6]'+[1]!'@CTA[8-2-3-3-5-3511,F,8,#6]'</f>
        <v>0</v>
      </c>
      <c r="K537" s="76">
        <f>[1]!'@CTA[8-2-4-3-5-3511,J,8,#6]'</f>
        <v>0</v>
      </c>
      <c r="L537" s="76">
        <f>[1]!'@CTA[8-2-5-3-5-3511,J,8,#6]'</f>
        <v>0</v>
      </c>
      <c r="M537" s="76">
        <f>[1]!'@CTA[8-2-6-3-5-3511,J,8,#6]'</f>
        <v>0</v>
      </c>
      <c r="N537" s="74">
        <f>[1]!'@CTA[8-2-7-3-5-3511,F,8,#6]'</f>
        <v>0</v>
      </c>
      <c r="O537" s="66">
        <f t="shared" si="36"/>
        <v>0</v>
      </c>
    </row>
    <row r="538" spans="1:15" ht="168" x14ac:dyDescent="0.2">
      <c r="A538" s="67" t="s">
        <v>291</v>
      </c>
      <c r="B538" s="61" t="s">
        <v>152</v>
      </c>
      <c r="C538" s="61" t="s">
        <v>149</v>
      </c>
      <c r="D538" s="62" t="s">
        <v>292</v>
      </c>
      <c r="E538" s="71" t="s">
        <v>177</v>
      </c>
      <c r="F538" s="72">
        <v>3521</v>
      </c>
      <c r="G538" s="73" t="s">
        <v>228</v>
      </c>
      <c r="H538" s="74">
        <f>[1]!'@CTA[8-2-1-3-5-3521,F,8,#6]'</f>
        <v>0</v>
      </c>
      <c r="I538" s="74">
        <f>[1]!'@CTA[8-2-3-3-5-3521,F,8,#6]'</f>
        <v>0</v>
      </c>
      <c r="J538" s="75">
        <f>[1]!'@CTA[8-2-1-3-5-3521,F,8,#6]'+[1]!'@CTA[8-2-3-3-5-3521,F,8,#6]'</f>
        <v>0</v>
      </c>
      <c r="K538" s="76">
        <f>[1]!'@CTA[8-2-4-3-5-3521,J,8,#6]'</f>
        <v>0</v>
      </c>
      <c r="L538" s="76">
        <f>[1]!'@CTA[8-2-5-3-5-3521,J,8,#6]'</f>
        <v>0</v>
      </c>
      <c r="M538" s="76">
        <f>[1]!'@CTA[8-2-6-3-5-3521,J,8,#6]'</f>
        <v>0</v>
      </c>
      <c r="N538" s="74">
        <f>[1]!'@CTA[8-2-7-3-5-3521,F,8,#6]'</f>
        <v>0</v>
      </c>
      <c r="O538" s="66">
        <f t="shared" si="36"/>
        <v>0</v>
      </c>
    </row>
    <row r="539" spans="1:15" ht="168" x14ac:dyDescent="0.2">
      <c r="A539" s="67" t="s">
        <v>291</v>
      </c>
      <c r="B539" s="61" t="s">
        <v>152</v>
      </c>
      <c r="C539" s="61" t="s">
        <v>149</v>
      </c>
      <c r="D539" s="62" t="s">
        <v>292</v>
      </c>
      <c r="E539" s="71" t="s">
        <v>177</v>
      </c>
      <c r="F539" s="72">
        <v>3531</v>
      </c>
      <c r="G539" s="73" t="s">
        <v>229</v>
      </c>
      <c r="H539" s="74">
        <f>[1]!'@CTA[8-2-1-3-5-3531,F,8,#6]'</f>
        <v>0</v>
      </c>
      <c r="I539" s="74">
        <f>[1]!'@CTA[8-2-3-3-5-3531,F,8,#6]'</f>
        <v>0</v>
      </c>
      <c r="J539" s="75">
        <f>[1]!'@CTA[8-2-1-3-5-3531,F,8,#6]'+[1]!'@CTA[8-2-3-3-5-3531,F,8,#6]'</f>
        <v>0</v>
      </c>
      <c r="K539" s="76">
        <f>[1]!'@CTA[8-2-4-3-5-3531,J,8,#6]'</f>
        <v>0</v>
      </c>
      <c r="L539" s="76">
        <f>[1]!'@CTA[8-2-5-3-5-3531,J,8,#6]'</f>
        <v>0</v>
      </c>
      <c r="M539" s="76">
        <f>[1]!'@CTA[8-2-6-3-5-3531,J,8,#6]'</f>
        <v>0</v>
      </c>
      <c r="N539" s="74">
        <f>[1]!'@CTA[8-2-7-3-5-3531,F,8,#6]'</f>
        <v>0</v>
      </c>
      <c r="O539" s="66">
        <f t="shared" si="36"/>
        <v>0</v>
      </c>
    </row>
    <row r="540" spans="1:15" ht="168" x14ac:dyDescent="0.2">
      <c r="A540" s="67" t="s">
        <v>291</v>
      </c>
      <c r="B540" s="61" t="s">
        <v>152</v>
      </c>
      <c r="C540" s="61" t="s">
        <v>149</v>
      </c>
      <c r="D540" s="62" t="s">
        <v>292</v>
      </c>
      <c r="E540" s="71" t="s">
        <v>177</v>
      </c>
      <c r="F540" s="72">
        <v>3551</v>
      </c>
      <c r="G540" s="73" t="s">
        <v>230</v>
      </c>
      <c r="H540" s="74">
        <f>[1]!'@CTA[8-2-1-3-5-3551,F,8,#6]'</f>
        <v>18720</v>
      </c>
      <c r="I540" s="74">
        <f>[1]!'@CTA[8-2-3-3-5-3551,F,8,#6]'</f>
        <v>0</v>
      </c>
      <c r="J540" s="75">
        <f>[1]!'@CTA[8-2-1-3-5-3551,F,8,#6]'+[1]!'@CTA[8-2-3-3-5-3551,F,8,#6]'</f>
        <v>18720</v>
      </c>
      <c r="K540" s="76">
        <f>[1]!'@CTA[8-2-4-3-5-3551,J,8,#6]'</f>
        <v>9312.07</v>
      </c>
      <c r="L540" s="76">
        <f>[1]!'@CTA[8-2-5-3-5-3551,J,8,#6]'</f>
        <v>9312.07</v>
      </c>
      <c r="M540" s="76">
        <f>[1]!'@CTA[8-2-6-3-5-3551,J,8,#6]'</f>
        <v>9312.07</v>
      </c>
      <c r="N540" s="74">
        <f>[1]!'@CTA[8-2-7-3-5-3551,F,8,#6]'</f>
        <v>9312.07</v>
      </c>
      <c r="O540" s="66">
        <f t="shared" si="36"/>
        <v>9407.93</v>
      </c>
    </row>
    <row r="541" spans="1:15" ht="168" x14ac:dyDescent="0.2">
      <c r="A541" s="67" t="s">
        <v>291</v>
      </c>
      <c r="B541" s="61" t="s">
        <v>152</v>
      </c>
      <c r="C541" s="61" t="s">
        <v>149</v>
      </c>
      <c r="D541" s="62" t="s">
        <v>292</v>
      </c>
      <c r="E541" s="71" t="s">
        <v>177</v>
      </c>
      <c r="F541" s="72">
        <v>3571</v>
      </c>
      <c r="G541" s="73" t="s">
        <v>231</v>
      </c>
      <c r="H541" s="74">
        <f>[1]!'@CTA[8-2-1-3-5-3571,F,8,#6]'</f>
        <v>0</v>
      </c>
      <c r="I541" s="74">
        <f>[1]!'@CTA[8-2-3-3-5-3571,F,8,#6]'</f>
        <v>0</v>
      </c>
      <c r="J541" s="75">
        <f>[1]!'@CTA[8-2-1-3-5-3571,F,8,#6]'+[1]!'@CTA[8-2-3-3-5-3571,F,8,#6]'</f>
        <v>0</v>
      </c>
      <c r="K541" s="76">
        <f>[1]!'@CTA[8-2-4-3-5-3571,J,8,#6]'</f>
        <v>0</v>
      </c>
      <c r="L541" s="76">
        <f>[1]!'@CTA[8-2-5-3-5-3571,J,8,#6]'</f>
        <v>0</v>
      </c>
      <c r="M541" s="76">
        <f>[1]!'@CTA[8-2-6-3-5-3571,J,8,#6]'</f>
        <v>0</v>
      </c>
      <c r="N541" s="74">
        <f>[1]!'@CTA[8-2-7-3-5-3571,F,8,#6]'</f>
        <v>0</v>
      </c>
      <c r="O541" s="66">
        <f t="shared" si="36"/>
        <v>0</v>
      </c>
    </row>
    <row r="542" spans="1:15" ht="168" x14ac:dyDescent="0.2">
      <c r="A542" s="67" t="s">
        <v>291</v>
      </c>
      <c r="B542" s="61" t="s">
        <v>152</v>
      </c>
      <c r="C542" s="61" t="s">
        <v>149</v>
      </c>
      <c r="D542" s="62" t="s">
        <v>292</v>
      </c>
      <c r="E542" s="71" t="s">
        <v>177</v>
      </c>
      <c r="F542" s="72">
        <v>3572</v>
      </c>
      <c r="G542" s="73" t="s">
        <v>232</v>
      </c>
      <c r="H542" s="74">
        <f>[1]!'@CTA[8-2-1-3-5-3572,F,8,#6]'</f>
        <v>0</v>
      </c>
      <c r="I542" s="74">
        <f>[1]!'@CTA[8-2-3-3-5-3572,F,8,#6]'</f>
        <v>0</v>
      </c>
      <c r="J542" s="75">
        <f>[1]!'@CTA[8-2-1-3-5-3572,F,8,#6]'+[1]!'@CTA[8-2-3-3-5-3572,F,8,#6]'</f>
        <v>0</v>
      </c>
      <c r="K542" s="76">
        <f>[1]!'@CTA[8-2-4-3-5-3572,J,8,#6]'</f>
        <v>0</v>
      </c>
      <c r="L542" s="76">
        <f>[1]!'@CTA[8-2-5-3-5-3572,J,8,#6]'</f>
        <v>0</v>
      </c>
      <c r="M542" s="76">
        <f>[1]!'@CTA[8-2-6-3-5-3572,J,8,#6]'</f>
        <v>0</v>
      </c>
      <c r="N542" s="74">
        <f>[1]!'@CTA[8-2-7-3-5-3572,F,8,#6]'</f>
        <v>0</v>
      </c>
      <c r="O542" s="66">
        <f t="shared" si="36"/>
        <v>0</v>
      </c>
    </row>
    <row r="543" spans="1:15" ht="168" x14ac:dyDescent="0.2">
      <c r="A543" s="67" t="s">
        <v>291</v>
      </c>
      <c r="B543" s="61" t="s">
        <v>152</v>
      </c>
      <c r="C543" s="61" t="s">
        <v>149</v>
      </c>
      <c r="D543" s="62" t="s">
        <v>292</v>
      </c>
      <c r="E543" s="71" t="s">
        <v>177</v>
      </c>
      <c r="F543" s="72">
        <v>3573</v>
      </c>
      <c r="G543" s="73" t="s">
        <v>233</v>
      </c>
      <c r="H543" s="74">
        <f>[1]!'@CTA[8-2-1-3-5-3573,F,8,#6]'</f>
        <v>0</v>
      </c>
      <c r="I543" s="74">
        <f>[1]!'@CTA[8-2-3-3-5-3573,F,8,#6]'</f>
        <v>0</v>
      </c>
      <c r="J543" s="75">
        <f>[1]!'@CTA[8-2-1-3-5-3573,F,8,#6]'+[1]!'@CTA[8-2-3-3-5-3573,F,8,#6]'</f>
        <v>0</v>
      </c>
      <c r="K543" s="76">
        <f>[1]!'@CTA[8-2-4-3-5-3573,J,8,#6]'</f>
        <v>0</v>
      </c>
      <c r="L543" s="76">
        <f>[1]!'@CTA[8-2-5-3-5-3573,J,8,#6]'</f>
        <v>0</v>
      </c>
      <c r="M543" s="76">
        <f>[1]!'@CTA[8-2-6-3-5-3573,J,8,#6]'</f>
        <v>0</v>
      </c>
      <c r="N543" s="74">
        <f>[1]!'@CTA[8-2-7-3-5-3573,F,8,#6]'</f>
        <v>0</v>
      </c>
      <c r="O543" s="66">
        <f t="shared" si="36"/>
        <v>0</v>
      </c>
    </row>
    <row r="544" spans="1:15" ht="168" x14ac:dyDescent="0.2">
      <c r="A544" s="67" t="s">
        <v>291</v>
      </c>
      <c r="B544" s="61" t="s">
        <v>152</v>
      </c>
      <c r="C544" s="61" t="s">
        <v>149</v>
      </c>
      <c r="D544" s="62" t="s">
        <v>292</v>
      </c>
      <c r="E544" s="71" t="s">
        <v>177</v>
      </c>
      <c r="F544" s="72">
        <v>3574</v>
      </c>
      <c r="G544" s="73" t="s">
        <v>234</v>
      </c>
      <c r="H544" s="74">
        <f>[1]!'@CTA[8-2-1-3-5-3574,F,8,#6]'</f>
        <v>0</v>
      </c>
      <c r="I544" s="74">
        <f>[1]!'@CTA[8-2-3-3-5-3574,F,8,#6]'</f>
        <v>0</v>
      </c>
      <c r="J544" s="75">
        <f>[1]!'@CTA[8-2-1-3-5-3574,F,8,#6]'+[1]!'@CTA[8-2-3-3-5-3574,F,8,#6]'</f>
        <v>0</v>
      </c>
      <c r="K544" s="76">
        <f>[1]!'@CTA[8-2-4-3-5-3574,J,8,#6]'</f>
        <v>0</v>
      </c>
      <c r="L544" s="76">
        <f>[1]!'@CTA[8-2-5-3-5-3574,J,8,#6]'</f>
        <v>0</v>
      </c>
      <c r="M544" s="76">
        <f>[1]!'@CTA[8-2-6-3-5-3574,J,8,#6]'</f>
        <v>0</v>
      </c>
      <c r="N544" s="74">
        <f>[1]!'@CTA[8-2-7-3-5-3574,F,8,#6]'</f>
        <v>0</v>
      </c>
      <c r="O544" s="66">
        <f t="shared" si="36"/>
        <v>0</v>
      </c>
    </row>
    <row r="545" spans="1:15" ht="168" x14ac:dyDescent="0.2">
      <c r="A545" s="67" t="s">
        <v>291</v>
      </c>
      <c r="B545" s="61" t="s">
        <v>152</v>
      </c>
      <c r="C545" s="61" t="s">
        <v>149</v>
      </c>
      <c r="D545" s="62" t="s">
        <v>292</v>
      </c>
      <c r="E545" s="71" t="s">
        <v>177</v>
      </c>
      <c r="F545" s="72">
        <v>3575</v>
      </c>
      <c r="G545" s="73" t="s">
        <v>235</v>
      </c>
      <c r="H545" s="74">
        <f>[1]!'@CTA[8-2-1-3-5-3575,F,8,#6]'</f>
        <v>0</v>
      </c>
      <c r="I545" s="74">
        <f>[1]!'@CTA[8-2-3-3-5-3575,F,8,#6]'</f>
        <v>0</v>
      </c>
      <c r="J545" s="75">
        <f>[1]!'@CTA[8-2-1-3-5-3575,F,8,#6]'+[1]!'@CTA[8-2-3-3-5-3575,F,8,#6]'</f>
        <v>0</v>
      </c>
      <c r="K545" s="76">
        <f>[1]!'@CTA[8-2-4-3-5-3575,J,8,#6]'</f>
        <v>0</v>
      </c>
      <c r="L545" s="76">
        <f>[1]!'@CTA[8-2-5-3-5-3575,J,8,#6]'</f>
        <v>0</v>
      </c>
      <c r="M545" s="76">
        <f>[1]!'@CTA[8-2-6-3-5-3575,J,8,#6]'</f>
        <v>0</v>
      </c>
      <c r="N545" s="74">
        <f>[1]!'@CTA[8-2-7-3-5-3575,F,8,#6]'</f>
        <v>0</v>
      </c>
      <c r="O545" s="66">
        <f t="shared" si="36"/>
        <v>0</v>
      </c>
    </row>
    <row r="546" spans="1:15" ht="168" x14ac:dyDescent="0.2">
      <c r="A546" s="67" t="s">
        <v>291</v>
      </c>
      <c r="B546" s="61" t="s">
        <v>152</v>
      </c>
      <c r="C546" s="61" t="s">
        <v>149</v>
      </c>
      <c r="D546" s="62" t="s">
        <v>292</v>
      </c>
      <c r="E546" s="71" t="s">
        <v>177</v>
      </c>
      <c r="F546" s="72">
        <v>3576</v>
      </c>
      <c r="G546" s="73" t="s">
        <v>236</v>
      </c>
      <c r="H546" s="74">
        <f>[1]!'@CTA[8-2-1-3-5-3576,F,8,#6]'</f>
        <v>0</v>
      </c>
      <c r="I546" s="74">
        <f>[1]!'@CTA[8-2-3-3-5-3576,F,8,#6]'</f>
        <v>0</v>
      </c>
      <c r="J546" s="75">
        <f>[1]!'@CTA[8-2-1-3-5-3576,F,8,#6]'+[1]!'@CTA[8-2-3-3-5-3576,F,8,#6]'</f>
        <v>0</v>
      </c>
      <c r="K546" s="76">
        <f>[1]!'@CTA[8-2-4-3-5-3576,J,8,#6]'</f>
        <v>0</v>
      </c>
      <c r="L546" s="76">
        <f>[1]!'@CTA[8-2-5-3-5-3576,J,8,#6]'</f>
        <v>0</v>
      </c>
      <c r="M546" s="76">
        <f>[1]!'@CTA[8-2-6-3-5-3576,J,8,#6]'</f>
        <v>0</v>
      </c>
      <c r="N546" s="74">
        <f>[1]!'@CTA[8-2-7-3-5-3576,F,8,#6]'</f>
        <v>0</v>
      </c>
      <c r="O546" s="66">
        <f t="shared" si="36"/>
        <v>0</v>
      </c>
    </row>
    <row r="547" spans="1:15" ht="168" x14ac:dyDescent="0.2">
      <c r="A547" s="67" t="s">
        <v>291</v>
      </c>
      <c r="B547" s="61" t="s">
        <v>152</v>
      </c>
      <c r="C547" s="61" t="s">
        <v>149</v>
      </c>
      <c r="D547" s="62" t="s">
        <v>292</v>
      </c>
      <c r="E547" s="71" t="s">
        <v>177</v>
      </c>
      <c r="F547" s="72">
        <v>3577</v>
      </c>
      <c r="G547" s="73" t="s">
        <v>237</v>
      </c>
      <c r="H547" s="74">
        <f>[1]!'@CTA[8-2-1-3-5-3577,F,8,#6]'</f>
        <v>0</v>
      </c>
      <c r="I547" s="74">
        <f>[1]!'@CTA[8-2-3-3-5-3577,F,8,#6]'</f>
        <v>0</v>
      </c>
      <c r="J547" s="75">
        <f>[1]!'@CTA[8-2-1-3-5-3577,F,8,#6]'+[1]!'@CTA[8-2-3-3-5-3577,F,8,#6]'</f>
        <v>0</v>
      </c>
      <c r="K547" s="76">
        <f>[1]!'@CTA[8-2-4-3-5-3577,J,8,#6]'</f>
        <v>0</v>
      </c>
      <c r="L547" s="76">
        <f>[1]!'@CTA[8-2-5-3-5-3577,J,8,#6]'</f>
        <v>0</v>
      </c>
      <c r="M547" s="76">
        <f>[1]!'@CTA[8-2-6-3-5-3577,J,8,#6]'</f>
        <v>0</v>
      </c>
      <c r="N547" s="74">
        <f>[1]!'@CTA[8-2-7-3-5-3577,F,8,#6]'</f>
        <v>0</v>
      </c>
      <c r="O547" s="66">
        <f t="shared" si="36"/>
        <v>0</v>
      </c>
    </row>
    <row r="548" spans="1:15" ht="168" x14ac:dyDescent="0.2">
      <c r="A548" s="67" t="s">
        <v>291</v>
      </c>
      <c r="B548" s="61" t="s">
        <v>152</v>
      </c>
      <c r="C548" s="61" t="s">
        <v>149</v>
      </c>
      <c r="D548" s="62" t="s">
        <v>292</v>
      </c>
      <c r="E548" s="71" t="s">
        <v>177</v>
      </c>
      <c r="F548" s="72">
        <v>3611</v>
      </c>
      <c r="G548" s="73" t="s">
        <v>238</v>
      </c>
      <c r="H548" s="74">
        <f>[1]!'@CTA[8-2-1-3-6-3611,F,8,#6]'</f>
        <v>151000</v>
      </c>
      <c r="I548" s="74">
        <f>[1]!'@CTA[8-2-3-3-6-3611,F,8,#6]'</f>
        <v>-70586</v>
      </c>
      <c r="J548" s="75">
        <f>[1]!'@CTA[8-2-1-3-6-3611,F,8,#6]'+[1]!'@CTA[8-2-3-3-6-3611,F,8,#6]'</f>
        <v>80414</v>
      </c>
      <c r="K548" s="76">
        <f>[1]!'@CTA[8-2-4-3-6-3611,J,8,#6]'</f>
        <v>15259.35</v>
      </c>
      <c r="L548" s="76">
        <f>[1]!'@CTA[8-2-5-3-6-3611,J,8,#6]'</f>
        <v>15259.35</v>
      </c>
      <c r="M548" s="76">
        <f>[1]!'@CTA[8-2-6-3-6-3611,J,8,#6]'</f>
        <v>15259.35</v>
      </c>
      <c r="N548" s="74">
        <f>[1]!'@CTA[8-2-7-3-6-3611,F,8,#6]'</f>
        <v>15259.349999999979</v>
      </c>
      <c r="O548" s="66">
        <f t="shared" si="36"/>
        <v>65154.65</v>
      </c>
    </row>
    <row r="549" spans="1:15" ht="168" x14ac:dyDescent="0.2">
      <c r="A549" s="67" t="s">
        <v>291</v>
      </c>
      <c r="B549" s="61" t="s">
        <v>152</v>
      </c>
      <c r="C549" s="61" t="s">
        <v>149</v>
      </c>
      <c r="D549" s="62" t="s">
        <v>292</v>
      </c>
      <c r="E549" s="71" t="s">
        <v>177</v>
      </c>
      <c r="F549" s="72">
        <v>3721</v>
      </c>
      <c r="G549" s="73" t="s">
        <v>239</v>
      </c>
      <c r="H549" s="74">
        <f>[1]!'@CTA[8-2-1-3-7-3721,F,8,#6]'</f>
        <v>900</v>
      </c>
      <c r="I549" s="74">
        <f>[1]!'@CTA[8-2-3-3-7-3721,F,8,#6]'</f>
        <v>0</v>
      </c>
      <c r="J549" s="75">
        <f>[1]!'@CTA[8-2-1-3-7-3721,F,8,#6]'+[1]!'@CTA[8-2-3-3-7-3721,F,8,#6]'</f>
        <v>900</v>
      </c>
      <c r="K549" s="76">
        <f>[1]!'@CTA[8-2-4-3-7-3721,J,8,#6]'</f>
        <v>0</v>
      </c>
      <c r="L549" s="76">
        <f>[1]!'@CTA[8-2-5-3-7-3721,J,8,#6]'</f>
        <v>0</v>
      </c>
      <c r="M549" s="76">
        <f>[1]!'@CTA[8-2-6-3-7-3721,J,8,#6]'</f>
        <v>0</v>
      </c>
      <c r="N549" s="74">
        <f>[1]!'@CTA[8-2-7-3-7-3721,F,8,#6]'</f>
        <v>0</v>
      </c>
      <c r="O549" s="66">
        <f t="shared" si="36"/>
        <v>900</v>
      </c>
    </row>
    <row r="550" spans="1:15" ht="168" x14ac:dyDescent="0.2">
      <c r="A550" s="67" t="s">
        <v>291</v>
      </c>
      <c r="B550" s="61" t="s">
        <v>152</v>
      </c>
      <c r="C550" s="61" t="s">
        <v>149</v>
      </c>
      <c r="D550" s="62" t="s">
        <v>292</v>
      </c>
      <c r="E550" s="71" t="s">
        <v>177</v>
      </c>
      <c r="F550" s="72">
        <v>3722</v>
      </c>
      <c r="G550" s="73" t="s">
        <v>240</v>
      </c>
      <c r="H550" s="74">
        <f>[1]!'@CTA[8-2-1-3-7-3722,F,8,#6]'</f>
        <v>0</v>
      </c>
      <c r="I550" s="74">
        <f>[1]!'@CTA[8-2-3-3-7-3722,F,8,#6]'</f>
        <v>0</v>
      </c>
      <c r="J550" s="75">
        <f>[1]!'@CTA[8-2-1-3-7-3722,F,8,#6]'+[1]!'@CTA[8-2-3-3-7-3722,F,8,#6]'</f>
        <v>0</v>
      </c>
      <c r="K550" s="76">
        <f>[1]!'@CTA[8-2-4-3-7-3722,J,8,#6]'</f>
        <v>0</v>
      </c>
      <c r="L550" s="76">
        <f>[1]!'@CTA[8-2-5-3-7-3722,J,8,#6]'</f>
        <v>0</v>
      </c>
      <c r="M550" s="76">
        <f>[1]!'@CTA[8-2-6-3-7-3722,J,8,#6]'</f>
        <v>0</v>
      </c>
      <c r="N550" s="74">
        <f>[1]!'@CTA[8-2-7-3-7-3722,F,8,#6]'</f>
        <v>0</v>
      </c>
      <c r="O550" s="66">
        <f t="shared" si="36"/>
        <v>0</v>
      </c>
    </row>
    <row r="551" spans="1:15" ht="168" x14ac:dyDescent="0.2">
      <c r="A551" s="67" t="s">
        <v>291</v>
      </c>
      <c r="B551" s="61" t="s">
        <v>152</v>
      </c>
      <c r="C551" s="61" t="s">
        <v>149</v>
      </c>
      <c r="D551" s="62" t="s">
        <v>292</v>
      </c>
      <c r="E551" s="71" t="s">
        <v>177</v>
      </c>
      <c r="F551" s="72">
        <v>3751</v>
      </c>
      <c r="G551" s="73" t="s">
        <v>241</v>
      </c>
      <c r="H551" s="74">
        <f>[1]!'@CTA[8-2-1-3-7-3751,F,8,#6]'</f>
        <v>3600</v>
      </c>
      <c r="I551" s="74">
        <f>[1]!'@CTA[8-2-3-3-7-3751,F,8,#6]'</f>
        <v>3.637978807091713E-12</v>
      </c>
      <c r="J551" s="75">
        <f>[1]!'@CTA[8-2-1-3-7-3751,F,8,#6]'+[1]!'@CTA[8-2-3-3-7-3751,F,8,#6]'</f>
        <v>3600.0000000000036</v>
      </c>
      <c r="K551" s="76">
        <f>[1]!'@CTA[8-2-4-3-7-3751,J,8,#6]'</f>
        <v>0</v>
      </c>
      <c r="L551" s="76">
        <f>[1]!'@CTA[8-2-5-3-7-3751,J,8,#6]'</f>
        <v>0</v>
      </c>
      <c r="M551" s="76">
        <f>[1]!'@CTA[8-2-6-3-7-3751,J,8,#6]'</f>
        <v>0</v>
      </c>
      <c r="N551" s="74">
        <f>[1]!'@CTA[8-2-7-3-7-3751,F,8,#6]'</f>
        <v>5.6843418860808015E-14</v>
      </c>
      <c r="O551" s="66">
        <f t="shared" si="36"/>
        <v>3600.0000000000036</v>
      </c>
    </row>
    <row r="552" spans="1:15" ht="168" x14ac:dyDescent="0.2">
      <c r="A552" s="67" t="s">
        <v>291</v>
      </c>
      <c r="B552" s="61" t="s">
        <v>152</v>
      </c>
      <c r="C552" s="61" t="s">
        <v>149</v>
      </c>
      <c r="D552" s="62" t="s">
        <v>292</v>
      </c>
      <c r="E552" s="71" t="s">
        <v>177</v>
      </c>
      <c r="F552" s="72">
        <v>3821</v>
      </c>
      <c r="G552" s="73" t="s">
        <v>242</v>
      </c>
      <c r="H552" s="74">
        <f>[1]!'@CTA[8-2-1-3-8-3821,F,8,#6]'</f>
        <v>48000</v>
      </c>
      <c r="I552" s="74">
        <f>[1]!'@CTA[8-2-3-3-8-3821,F,8,#6]'</f>
        <v>0</v>
      </c>
      <c r="J552" s="75">
        <f>[1]!'@CTA[8-2-1-3-8-3821,F,8,#6]'+[1]!'@CTA[8-2-3-3-8-3821,F,8,#6]'</f>
        <v>48000</v>
      </c>
      <c r="K552" s="76">
        <f>[1]!'@CTA[8-2-4-3-8-3821,J,8,#6]'</f>
        <v>25337.899999999998</v>
      </c>
      <c r="L552" s="76">
        <f>[1]!'@CTA[8-2-5-3-8-3821,J,8,#6]'</f>
        <v>25337.899999999998</v>
      </c>
      <c r="M552" s="76">
        <f>[1]!'@CTA[8-2-6-3-8-3821,J,8,#6]'</f>
        <v>25337.899999999998</v>
      </c>
      <c r="N552" s="74">
        <f>[1]!'@CTA[8-2-7-3-8-3821,F,8,#6]'</f>
        <v>25337.900000000023</v>
      </c>
      <c r="O552" s="66">
        <f t="shared" si="36"/>
        <v>22662.100000000002</v>
      </c>
    </row>
    <row r="553" spans="1:15" ht="168" x14ac:dyDescent="0.2">
      <c r="A553" s="67" t="s">
        <v>291</v>
      </c>
      <c r="B553" s="61" t="s">
        <v>152</v>
      </c>
      <c r="C553" s="61" t="s">
        <v>149</v>
      </c>
      <c r="D553" s="62" t="s">
        <v>292</v>
      </c>
      <c r="E553" s="71" t="s">
        <v>177</v>
      </c>
      <c r="F553" s="72">
        <v>3822</v>
      </c>
      <c r="G553" s="73" t="s">
        <v>243</v>
      </c>
      <c r="H553" s="74">
        <f>[1]!'@CTA[8-2-1-3-8-3822,F,8,#6]'</f>
        <v>82000</v>
      </c>
      <c r="I553" s="74">
        <f>[1]!'@CTA[8-2-3-3-8-3822,F,8,#6]'</f>
        <v>0</v>
      </c>
      <c r="J553" s="75">
        <f>[1]!'@CTA[8-2-1-3-8-3822,F,8,#6]'+[1]!'@CTA[8-2-3-3-8-3822,F,8,#6]'</f>
        <v>82000</v>
      </c>
      <c r="K553" s="76">
        <f>[1]!'@CTA[8-2-4-3-8-3822,J,8,#6]'</f>
        <v>15263.460000000003</v>
      </c>
      <c r="L553" s="76">
        <f>[1]!'@CTA[8-2-5-3-8-3822,J,8,#6]'</f>
        <v>15263.460000000003</v>
      </c>
      <c r="M553" s="76">
        <f>[1]!'@CTA[8-2-6-3-8-3822,J,8,#6]'</f>
        <v>15263.460000000003</v>
      </c>
      <c r="N553" s="74">
        <f>[1]!'@CTA[8-2-7-3-8-3822,F,8,#6]'</f>
        <v>15263.460000000054</v>
      </c>
      <c r="O553" s="66">
        <f t="shared" si="36"/>
        <v>66736.539999999994</v>
      </c>
    </row>
    <row r="554" spans="1:15" ht="168" x14ac:dyDescent="0.2">
      <c r="A554" s="67" t="s">
        <v>291</v>
      </c>
      <c r="B554" s="61" t="s">
        <v>152</v>
      </c>
      <c r="C554" s="61" t="s">
        <v>149</v>
      </c>
      <c r="D554" s="62" t="s">
        <v>292</v>
      </c>
      <c r="E554" s="71" t="s">
        <v>177</v>
      </c>
      <c r="F554" s="72">
        <v>3831</v>
      </c>
      <c r="G554" s="73" t="s">
        <v>244</v>
      </c>
      <c r="H554" s="74">
        <f>[1]!'@CTA[8-2-1-3-8-3831,F,8,#6]'</f>
        <v>30000</v>
      </c>
      <c r="I554" s="74">
        <f>[1]!'@CTA[8-2-3-3-8-3831,F,8,#6]'</f>
        <v>0</v>
      </c>
      <c r="J554" s="75">
        <f>[1]!'@CTA[8-2-1-3-8-3831,F,8,#6]'+[1]!'@CTA[8-2-3-3-8-3831,F,8,#6]'</f>
        <v>30000</v>
      </c>
      <c r="K554" s="76">
        <f>[1]!'@CTA[8-2-4-3-8-3831,J,8,#6]'</f>
        <v>0</v>
      </c>
      <c r="L554" s="76">
        <f>[1]!'@CTA[8-2-5-3-8-3831,J,8,#6]'</f>
        <v>0</v>
      </c>
      <c r="M554" s="76">
        <f>[1]!'@CTA[8-2-6-3-8-3831,J,8,#6]'</f>
        <v>0</v>
      </c>
      <c r="N554" s="74">
        <f>[1]!'@CTA[8-2-7-3-8-3831,F,8,#6]'</f>
        <v>3.637978807091713E-12</v>
      </c>
      <c r="O554" s="66">
        <f t="shared" si="36"/>
        <v>30000</v>
      </c>
    </row>
    <row r="555" spans="1:15" ht="168" x14ac:dyDescent="0.2">
      <c r="A555" s="67" t="s">
        <v>291</v>
      </c>
      <c r="B555" s="61" t="s">
        <v>152</v>
      </c>
      <c r="C555" s="61" t="s">
        <v>149</v>
      </c>
      <c r="D555" s="62" t="s">
        <v>292</v>
      </c>
      <c r="E555" s="71" t="s">
        <v>177</v>
      </c>
      <c r="F555" s="72">
        <v>3851</v>
      </c>
      <c r="G555" s="73" t="s">
        <v>245</v>
      </c>
      <c r="H555" s="74">
        <f>[1]!'@CTA[8-2-1-3-8-3851,F,8,#6]'</f>
        <v>0</v>
      </c>
      <c r="I555" s="74">
        <f>[1]!'@CTA[8-2-3-3-8-3851,F,8,#6]'</f>
        <v>0</v>
      </c>
      <c r="J555" s="75">
        <f>[1]!'@CTA[8-2-1-3-8-3851,F,8,#6]'+[1]!'@CTA[8-2-3-3-8-3851,F,8,#6]'</f>
        <v>0</v>
      </c>
      <c r="K555" s="76">
        <f>[1]!'@CTA[8-2-4-3-8-3851,J,8,#6]'</f>
        <v>0</v>
      </c>
      <c r="L555" s="76">
        <f>[1]!'@CTA[8-2-5-3-8-3851,J,8,#6]'</f>
        <v>0</v>
      </c>
      <c r="M555" s="76">
        <f>[1]!'@CTA[8-2-6-3-8-3851,J,8,#6]'</f>
        <v>0</v>
      </c>
      <c r="N555" s="74">
        <f>[1]!'@CTA[8-2-7-3-8-3851,F,8,#6]'</f>
        <v>0</v>
      </c>
      <c r="O555" s="66">
        <f t="shared" si="36"/>
        <v>0</v>
      </c>
    </row>
    <row r="556" spans="1:15" ht="168" x14ac:dyDescent="0.2">
      <c r="A556" s="67" t="s">
        <v>291</v>
      </c>
      <c r="B556" s="61" t="s">
        <v>152</v>
      </c>
      <c r="C556" s="61" t="s">
        <v>149</v>
      </c>
      <c r="D556" s="62" t="s">
        <v>292</v>
      </c>
      <c r="E556" s="71" t="s">
        <v>177</v>
      </c>
      <c r="F556" s="72">
        <v>3921</v>
      </c>
      <c r="G556" s="73" t="s">
        <v>246</v>
      </c>
      <c r="H556" s="74">
        <f>[1]!'@CTA[8-2-1-3-9-3921,F,8,#6]'</f>
        <v>0</v>
      </c>
      <c r="I556" s="74">
        <f>[1]!'@CTA[8-2-3-3-9-3921,F,8,#6]'</f>
        <v>0</v>
      </c>
      <c r="J556" s="75">
        <f>[1]!'@CTA[8-2-1-3-9-3921,F,8,#6]'+[1]!'@CTA[8-2-3-3-9-3921,F,8,#6]'</f>
        <v>0</v>
      </c>
      <c r="K556" s="76">
        <f>[1]!'@CTA[8-2-4-3-9-3921,J,8,#6]'</f>
        <v>0</v>
      </c>
      <c r="L556" s="76">
        <f>[1]!'@CTA[8-2-5-3-9-3921,J,8,#6]'</f>
        <v>0</v>
      </c>
      <c r="M556" s="76">
        <f>[1]!'@CTA[8-2-6-3-9-3921,J,8,#6]'</f>
        <v>0</v>
      </c>
      <c r="N556" s="74">
        <f>[1]!'@CTA[8-2-7-3-9-3921,F,8,#6]'</f>
        <v>0</v>
      </c>
      <c r="O556" s="66">
        <f t="shared" si="36"/>
        <v>0</v>
      </c>
    </row>
    <row r="557" spans="1:15" ht="168" x14ac:dyDescent="0.2">
      <c r="A557" s="67" t="s">
        <v>291</v>
      </c>
      <c r="B557" s="61" t="s">
        <v>152</v>
      </c>
      <c r="C557" s="61" t="s">
        <v>149</v>
      </c>
      <c r="D557" s="62" t="s">
        <v>292</v>
      </c>
      <c r="E557" s="71" t="s">
        <v>177</v>
      </c>
      <c r="F557" s="72">
        <v>3922</v>
      </c>
      <c r="G557" s="73" t="s">
        <v>247</v>
      </c>
      <c r="H557" s="74">
        <f>[1]!'@CTA[8-2-1-3-9-3922,F,8,#6]'</f>
        <v>0</v>
      </c>
      <c r="I557" s="74">
        <f>[1]!'@CTA[8-2-3-3-9-3922,F,8,#6]'</f>
        <v>0</v>
      </c>
      <c r="J557" s="75">
        <f>[1]!'@CTA[8-2-1-3-9-3922,F,8,#6]'+[1]!'@CTA[8-2-3-3-9-3922,F,8,#6]'</f>
        <v>0</v>
      </c>
      <c r="K557" s="76">
        <f>[1]!'@CTA[8-2-4-3-9-3922,J,8,#6]'</f>
        <v>0</v>
      </c>
      <c r="L557" s="76">
        <f>[1]!'@CTA[8-2-5-3-9-3922,J,8,#6]'</f>
        <v>0</v>
      </c>
      <c r="M557" s="76">
        <f>[1]!'@CTA[8-2-6-3-9-3922,J,8,#6]'</f>
        <v>0</v>
      </c>
      <c r="N557" s="74">
        <f>[1]!'@CTA[8-2-7-3-9-3922,F,8,#6]'</f>
        <v>0</v>
      </c>
      <c r="O557" s="66">
        <f t="shared" si="36"/>
        <v>0</v>
      </c>
    </row>
    <row r="558" spans="1:15" ht="168" x14ac:dyDescent="0.2">
      <c r="A558" s="67" t="s">
        <v>291</v>
      </c>
      <c r="B558" s="61" t="s">
        <v>152</v>
      </c>
      <c r="C558" s="61" t="s">
        <v>149</v>
      </c>
      <c r="D558" s="62" t="s">
        <v>292</v>
      </c>
      <c r="E558" s="71" t="s">
        <v>177</v>
      </c>
      <c r="F558" s="72">
        <v>3923</v>
      </c>
      <c r="G558" s="73" t="s">
        <v>248</v>
      </c>
      <c r="H558" s="74">
        <f>[1]!'@CTA[8-2-1-3-9-3923,F,8,#6]'</f>
        <v>431</v>
      </c>
      <c r="I558" s="74">
        <f>[1]!'@CTA[8-2-3-3-9-3923,F,8,#6]'</f>
        <v>0</v>
      </c>
      <c r="J558" s="75">
        <f>[1]!'@CTA[8-2-1-3-9-3923,F,8,#6]'+[1]!'@CTA[8-2-3-3-9-3923,F,8,#6]'</f>
        <v>431</v>
      </c>
      <c r="K558" s="76">
        <f>[1]!'@CTA[8-2-4-3-9-3923,J,8,#6]'</f>
        <v>431</v>
      </c>
      <c r="L558" s="76">
        <f>[1]!'@CTA[8-2-5-3-9-3923,J,8,#6]'</f>
        <v>431</v>
      </c>
      <c r="M558" s="76">
        <f>[1]!'@CTA[8-2-6-3-9-3923,J,8,#6]'</f>
        <v>431</v>
      </c>
      <c r="N558" s="74">
        <f>[1]!'@CTA[8-2-7-3-9-3923,F,8,#6]'</f>
        <v>431</v>
      </c>
      <c r="O558" s="66">
        <f t="shared" si="36"/>
        <v>0</v>
      </c>
    </row>
    <row r="559" spans="1:15" ht="168" x14ac:dyDescent="0.2">
      <c r="A559" s="67" t="s">
        <v>291</v>
      </c>
      <c r="B559" s="61" t="s">
        <v>152</v>
      </c>
      <c r="C559" s="61" t="s">
        <v>149</v>
      </c>
      <c r="D559" s="62" t="s">
        <v>292</v>
      </c>
      <c r="E559" s="71" t="s">
        <v>177</v>
      </c>
      <c r="F559" s="72">
        <v>3924</v>
      </c>
      <c r="G559" s="73" t="s">
        <v>249</v>
      </c>
      <c r="H559" s="74">
        <f>[1]!'@CTA[8-2-1-3-9-3924,F,8,#6]'</f>
        <v>384</v>
      </c>
      <c r="I559" s="74">
        <f>[1]!'@CTA[8-2-3-3-9-3924,F,8,#6]'</f>
        <v>0</v>
      </c>
      <c r="J559" s="75">
        <f>[1]!'@CTA[8-2-1-3-9-3924,F,8,#6]'+[1]!'@CTA[8-2-3-3-9-3924,F,8,#6]'</f>
        <v>384</v>
      </c>
      <c r="K559" s="76">
        <f>[1]!'@CTA[8-2-4-3-9-3924,J,8,#6]'</f>
        <v>390.94</v>
      </c>
      <c r="L559" s="76">
        <f>[1]!'@CTA[8-2-5-3-9-3924,J,8,#6]'</f>
        <v>390.94</v>
      </c>
      <c r="M559" s="76">
        <f>[1]!'@CTA[8-2-6-3-9-3924,J,8,#6]'</f>
        <v>390.94</v>
      </c>
      <c r="N559" s="74">
        <f>[1]!'@CTA[8-2-7-3-9-3924,F,8,#6]'</f>
        <v>390.94</v>
      </c>
      <c r="O559" s="66">
        <f t="shared" si="36"/>
        <v>-6.9399999999999977</v>
      </c>
    </row>
    <row r="560" spans="1:15" ht="168" x14ac:dyDescent="0.2">
      <c r="A560" s="67" t="s">
        <v>291</v>
      </c>
      <c r="B560" s="61" t="s">
        <v>152</v>
      </c>
      <c r="C560" s="61" t="s">
        <v>149</v>
      </c>
      <c r="D560" s="62" t="s">
        <v>292</v>
      </c>
      <c r="E560" s="71" t="s">
        <v>177</v>
      </c>
      <c r="F560" s="72">
        <v>3925</v>
      </c>
      <c r="G560" s="73" t="s">
        <v>250</v>
      </c>
      <c r="H560" s="74">
        <f>[1]!'@CTA[8-2-1-3-9-3925,F,8,#6]'</f>
        <v>996</v>
      </c>
      <c r="I560" s="74">
        <f>[1]!'@CTA[8-2-3-3-9-3925,F,8,#6]'</f>
        <v>0</v>
      </c>
      <c r="J560" s="75">
        <f>[1]!'@CTA[8-2-1-3-9-3925,F,8,#6]'+[1]!'@CTA[8-2-3-3-9-3925,F,8,#6]'</f>
        <v>996</v>
      </c>
      <c r="K560" s="76">
        <f>[1]!'@CTA[8-2-4-3-9-3925,J,8,#6]'</f>
        <v>202.59</v>
      </c>
      <c r="L560" s="76">
        <f>[1]!'@CTA[8-2-5-3-9-3925,J,8,#6]'</f>
        <v>202.59</v>
      </c>
      <c r="M560" s="76">
        <f>[1]!'@CTA[8-2-6-3-9-3925,J,8,#6]'</f>
        <v>202.59</v>
      </c>
      <c r="N560" s="74">
        <f>[1]!'@CTA[8-2-7-3-9-3925,F,8,#6]'</f>
        <v>-1.1368683772161603E-13</v>
      </c>
      <c r="O560" s="66">
        <f t="shared" si="36"/>
        <v>793.41</v>
      </c>
    </row>
    <row r="561" spans="1:15" ht="168" x14ac:dyDescent="0.2">
      <c r="A561" s="67" t="s">
        <v>291</v>
      </c>
      <c r="B561" s="61" t="s">
        <v>152</v>
      </c>
      <c r="C561" s="61" t="s">
        <v>149</v>
      </c>
      <c r="D561" s="62" t="s">
        <v>292</v>
      </c>
      <c r="E561" s="71" t="s">
        <v>177</v>
      </c>
      <c r="F561" s="72">
        <v>3926</v>
      </c>
      <c r="G561" s="73" t="s">
        <v>251</v>
      </c>
      <c r="H561" s="74">
        <f>[1]!'@CTA[8-2-1-3-9-3926,F,8,#6]'</f>
        <v>0</v>
      </c>
      <c r="I561" s="74">
        <f>[1]!'@CTA[8-2-3-3-9-3926,F,8,#6]'</f>
        <v>0</v>
      </c>
      <c r="J561" s="75">
        <f>[1]!'@CTA[8-2-1-3-9-3926,F,8,#6]'+[1]!'@CTA[8-2-3-3-9-3926,F,8,#6]'</f>
        <v>0</v>
      </c>
      <c r="K561" s="76">
        <f>[1]!'@CTA[8-2-4-3-9-3926,J,8,#6]'</f>
        <v>0</v>
      </c>
      <c r="L561" s="76">
        <f>[1]!'@CTA[8-2-5-3-9-3926,J,8,#6]'</f>
        <v>0</v>
      </c>
      <c r="M561" s="76">
        <f>[1]!'@CTA[8-2-6-3-9-3926,J,8,#6]'</f>
        <v>0</v>
      </c>
      <c r="N561" s="74">
        <f>[1]!'@CTA[8-2-7-3-9-3926,F,8,#6]'</f>
        <v>0</v>
      </c>
      <c r="O561" s="66">
        <f t="shared" si="36"/>
        <v>0</v>
      </c>
    </row>
    <row r="562" spans="1:15" ht="168" x14ac:dyDescent="0.2">
      <c r="A562" s="67" t="s">
        <v>291</v>
      </c>
      <c r="B562" s="61" t="s">
        <v>152</v>
      </c>
      <c r="C562" s="61" t="s">
        <v>149</v>
      </c>
      <c r="D562" s="62" t="s">
        <v>292</v>
      </c>
      <c r="E562" s="71" t="s">
        <v>177</v>
      </c>
      <c r="F562" s="72">
        <v>3961</v>
      </c>
      <c r="G562" s="73" t="s">
        <v>252</v>
      </c>
      <c r="H562" s="74">
        <f>[1]!'@CTA[8-2-1-3-9-3961,F,8,#6]'</f>
        <v>0</v>
      </c>
      <c r="I562" s="74">
        <f>[1]!'@CTA[8-2-3-3-9-3961,F,8,#6]'</f>
        <v>0</v>
      </c>
      <c r="J562" s="75">
        <f>[1]!'@CTA[8-2-1-3-9-3961,F,8,#6]'+[1]!'@CTA[8-2-3-3-9-3961,F,8,#6]'</f>
        <v>0</v>
      </c>
      <c r="K562" s="76">
        <f>[1]!'@CTA[8-2-4-3-9-3961,J,8,#6]'</f>
        <v>0</v>
      </c>
      <c r="L562" s="76">
        <f>[1]!'@CTA[8-2-5-3-9-3961,J,8,#6]'</f>
        <v>0</v>
      </c>
      <c r="M562" s="76">
        <f>[1]!'@CTA[8-2-6-3-9-3961,J,8,#6]'</f>
        <v>0</v>
      </c>
      <c r="N562" s="74">
        <f>[1]!'@CTA[8-2-7-3-9-3961,F,8,#6]'</f>
        <v>0</v>
      </c>
      <c r="O562" s="66">
        <f t="shared" si="36"/>
        <v>0</v>
      </c>
    </row>
    <row r="563" spans="1:15" ht="168" x14ac:dyDescent="0.2">
      <c r="A563" s="67" t="s">
        <v>291</v>
      </c>
      <c r="B563" s="61" t="s">
        <v>152</v>
      </c>
      <c r="C563" s="61" t="s">
        <v>149</v>
      </c>
      <c r="D563" s="62" t="s">
        <v>292</v>
      </c>
      <c r="E563" s="71" t="s">
        <v>177</v>
      </c>
      <c r="F563" s="72">
        <v>3962</v>
      </c>
      <c r="G563" s="73" t="s">
        <v>253</v>
      </c>
      <c r="H563" s="74">
        <f>[1]!'@CTA[8-2-1-3-9-3962,F,8,#6]'</f>
        <v>0</v>
      </c>
      <c r="I563" s="74">
        <f>[1]!'@CTA[8-2-3-3-9-3962,F,8,#6]'</f>
        <v>0</v>
      </c>
      <c r="J563" s="75">
        <f>[1]!'@CTA[8-2-1-3-9-3962,F,8,#6]'+[1]!'@CTA[8-2-3-3-9-3962,F,8,#6]'</f>
        <v>0</v>
      </c>
      <c r="K563" s="76">
        <f>[1]!'@CTA[8-2-4-3-9-3962,J,8,#6]'</f>
        <v>0</v>
      </c>
      <c r="L563" s="76">
        <f>[1]!'@CTA[8-2-5-3-9-3962,J,8,#6]'</f>
        <v>0</v>
      </c>
      <c r="M563" s="76">
        <f>[1]!'@CTA[8-2-6-3-9-3962,J,8,#6]'</f>
        <v>0</v>
      </c>
      <c r="N563" s="74">
        <f>[1]!'@CTA[8-2-7-3-9-3962,F,8,#6]'</f>
        <v>0</v>
      </c>
      <c r="O563" s="66">
        <f t="shared" si="36"/>
        <v>0</v>
      </c>
    </row>
    <row r="564" spans="1:15" ht="168" x14ac:dyDescent="0.2">
      <c r="A564" s="67" t="s">
        <v>291</v>
      </c>
      <c r="B564" s="61" t="s">
        <v>152</v>
      </c>
      <c r="C564" s="61" t="s">
        <v>149</v>
      </c>
      <c r="D564" s="62" t="s">
        <v>292</v>
      </c>
      <c r="E564" s="71" t="s">
        <v>254</v>
      </c>
      <c r="F564" s="72">
        <v>3981</v>
      </c>
      <c r="G564" s="73" t="s">
        <v>255</v>
      </c>
      <c r="H564" s="74">
        <f>[1]!'@CTA[8-2-1-3-9-3981,F,8,#6]'</f>
        <v>8852</v>
      </c>
      <c r="I564" s="74">
        <f>[1]!'@CTA[8-2-3-3-9-3981,F,8,#6]'</f>
        <v>888.97</v>
      </c>
      <c r="J564" s="75">
        <f>[1]!'@CTA[8-2-1-3-9-3981,F,8,#6]'+[1]!'@CTA[8-2-3-3-9-3981,F,8,#6]'</f>
        <v>9740.9699999999993</v>
      </c>
      <c r="K564" s="76">
        <f>[1]!'@CTA[8-2-4-3-9-3981,J,8,#6]'</f>
        <v>1567.73</v>
      </c>
      <c r="L564" s="76">
        <f>[1]!'@CTA[8-2-5-3-9-3981,J,8,#6]'</f>
        <v>1567.73</v>
      </c>
      <c r="M564" s="76">
        <f>[1]!'@CTA[8-2-6-3-9-3981,J,8,#6]'</f>
        <v>1567.73</v>
      </c>
      <c r="N564" s="74">
        <f>[1]!'@CTA[8-2-7-3-9-3981,F,8,#6]'</f>
        <v>926.69000000000096</v>
      </c>
      <c r="O564" s="66">
        <f t="shared" si="36"/>
        <v>8173.24</v>
      </c>
    </row>
    <row r="565" spans="1:15" ht="168" x14ac:dyDescent="0.2">
      <c r="A565" s="67" t="s">
        <v>291</v>
      </c>
      <c r="B565" s="61"/>
      <c r="C565" s="61" t="s">
        <v>149</v>
      </c>
      <c r="D565" s="62" t="s">
        <v>292</v>
      </c>
      <c r="E565" s="61"/>
      <c r="F565" s="63">
        <v>5000</v>
      </c>
      <c r="G565" s="77" t="s">
        <v>256</v>
      </c>
      <c r="H565" s="69">
        <f t="shared" ref="H565:N565" si="37">SUBTOTAL(9,H566:H579)</f>
        <v>14998</v>
      </c>
      <c r="I565" s="69">
        <f t="shared" si="37"/>
        <v>70586</v>
      </c>
      <c r="J565" s="69">
        <f t="shared" si="37"/>
        <v>85584</v>
      </c>
      <c r="K565" s="70">
        <f t="shared" si="37"/>
        <v>0</v>
      </c>
      <c r="L565" s="70">
        <f t="shared" si="37"/>
        <v>24059.22</v>
      </c>
      <c r="M565" s="70">
        <f t="shared" si="37"/>
        <v>0</v>
      </c>
      <c r="N565" s="69">
        <f t="shared" si="37"/>
        <v>0</v>
      </c>
      <c r="O565" s="66">
        <f t="shared" si="36"/>
        <v>61524.78</v>
      </c>
    </row>
    <row r="566" spans="1:15" ht="168" x14ac:dyDescent="0.2">
      <c r="A566" s="67" t="s">
        <v>291</v>
      </c>
      <c r="B566" s="61" t="s">
        <v>152</v>
      </c>
      <c r="C566" s="61" t="s">
        <v>149</v>
      </c>
      <c r="D566" s="62" t="s">
        <v>292</v>
      </c>
      <c r="E566" s="71" t="s">
        <v>257</v>
      </c>
      <c r="F566" s="72">
        <v>5111</v>
      </c>
      <c r="G566" s="73" t="s">
        <v>258</v>
      </c>
      <c r="H566" s="74">
        <f>[1]!'@CTA[8-2-1-5-1-5111,F,8,#6]'</f>
        <v>14998</v>
      </c>
      <c r="I566" s="74">
        <f>[1]!'@CTA[8-2-3-5-1-5111,F,8,#6]'</f>
        <v>61317</v>
      </c>
      <c r="J566" s="75">
        <f>[1]!'@CTA[8-2-1-5-1-5111,F,8,#6]'+[1]!'@CTA[8-2-3-5-1-5111,F,8,#6]'</f>
        <v>76315</v>
      </c>
      <c r="K566" s="76">
        <f>[1]!'@CTA[8-2-4-5-1-5111,J,8,#6]'</f>
        <v>0</v>
      </c>
      <c r="L566" s="76">
        <f>[1]!'@CTA[8-2-5-5-1-5111,J,8,#6]'</f>
        <v>0</v>
      </c>
      <c r="M566" s="76">
        <f>[1]!'@CTA[8-2-6-5-1-5111,J,8,#6]'</f>
        <v>0</v>
      </c>
      <c r="N566" s="74">
        <f>[1]!'@CTA[8-2-7-5-1-5111,F,8,#6]'</f>
        <v>0</v>
      </c>
      <c r="O566" s="66">
        <f t="shared" si="36"/>
        <v>76315</v>
      </c>
    </row>
    <row r="567" spans="1:15" ht="168" x14ac:dyDescent="0.2">
      <c r="A567" s="67" t="s">
        <v>291</v>
      </c>
      <c r="B567" s="61" t="s">
        <v>152</v>
      </c>
      <c r="C567" s="61" t="s">
        <v>149</v>
      </c>
      <c r="D567" s="62" t="s">
        <v>292</v>
      </c>
      <c r="E567" s="71" t="s">
        <v>259</v>
      </c>
      <c r="F567" s="72">
        <v>5151</v>
      </c>
      <c r="G567" s="73" t="s">
        <v>260</v>
      </c>
      <c r="H567" s="74">
        <f>[1]!'@CTA[8-2-1-5-1-5151,F,8,#6]'</f>
        <v>0</v>
      </c>
      <c r="I567" s="74">
        <f>[1]!'@CTA[8-2-3-5-1-5151,F,8,#6]'</f>
        <v>0</v>
      </c>
      <c r="J567" s="75">
        <f>[1]!'@CTA[8-2-1-5-1-5151,F,8,#6]'+[1]!'@CTA[8-2-3-5-1-5151,F,8,#6]'</f>
        <v>0</v>
      </c>
      <c r="K567" s="76">
        <f>[1]!'@CTA[8-2-4-5-1-5151,J,8,#6]'</f>
        <v>0</v>
      </c>
      <c r="L567" s="76">
        <f>[1]!'@CTA[8-2-5-5-1-5151,J,8,#6]'</f>
        <v>0</v>
      </c>
      <c r="M567" s="76">
        <f>[1]!'@CTA[8-2-6-5-1-5151,J,8,#6]'</f>
        <v>0</v>
      </c>
      <c r="N567" s="74">
        <f>[1]!'@CTA[8-2-7-5-1-5151,F,8,#6]'</f>
        <v>0</v>
      </c>
      <c r="O567" s="66">
        <f t="shared" si="36"/>
        <v>0</v>
      </c>
    </row>
    <row r="568" spans="1:15" ht="168" x14ac:dyDescent="0.2">
      <c r="A568" s="67" t="s">
        <v>291</v>
      </c>
      <c r="B568" s="61" t="s">
        <v>152</v>
      </c>
      <c r="C568" s="61" t="s">
        <v>149</v>
      </c>
      <c r="D568" s="62" t="s">
        <v>292</v>
      </c>
      <c r="E568" s="71" t="s">
        <v>259</v>
      </c>
      <c r="F568" s="72">
        <v>5152</v>
      </c>
      <c r="G568" s="73" t="s">
        <v>261</v>
      </c>
      <c r="H568" s="74">
        <f>[1]!'@CTA[8-2-1-5-1-5152,F,8,#6]'</f>
        <v>0</v>
      </c>
      <c r="I568" s="74">
        <f>[1]!'@CTA[8-2-3-5-1-5152,F,8,#6]'</f>
        <v>0</v>
      </c>
      <c r="J568" s="75">
        <f>[1]!'@CTA[8-2-1-5-1-5152,F,8,#6]'+[1]!'@CTA[8-2-3-5-1-5152,F,8,#6]'</f>
        <v>0</v>
      </c>
      <c r="K568" s="76">
        <f>[1]!'@CTA[8-2-4-5-1-5152,J,8,#6]'</f>
        <v>0</v>
      </c>
      <c r="L568" s="76">
        <f>[1]!'@CTA[8-2-5-5-1-5152,J,8,#6]'</f>
        <v>0</v>
      </c>
      <c r="M568" s="76">
        <f>[1]!'@CTA[8-2-6-5-1-5152,J,8,#6]'</f>
        <v>0</v>
      </c>
      <c r="N568" s="74">
        <f>[1]!'@CTA[8-2-7-5-1-5152,F,8,#6]'</f>
        <v>0</v>
      </c>
      <c r="O568" s="66">
        <f t="shared" si="36"/>
        <v>0</v>
      </c>
    </row>
    <row r="569" spans="1:15" ht="168" x14ac:dyDescent="0.2">
      <c r="A569" s="67" t="s">
        <v>291</v>
      </c>
      <c r="B569" s="61" t="s">
        <v>152</v>
      </c>
      <c r="C569" s="61" t="s">
        <v>149</v>
      </c>
      <c r="D569" s="62" t="s">
        <v>292</v>
      </c>
      <c r="E569" s="71" t="s">
        <v>259</v>
      </c>
      <c r="F569" s="72">
        <v>5153</v>
      </c>
      <c r="G569" s="73" t="s">
        <v>262</v>
      </c>
      <c r="H569" s="74">
        <f>[1]!'@CTA[8-2-1-5-1-5153,F,8,#6]'</f>
        <v>0</v>
      </c>
      <c r="I569" s="74">
        <f>[1]!'@CTA[8-2-3-5-1-5153,F,8,#6]'</f>
        <v>0</v>
      </c>
      <c r="J569" s="75">
        <f>[1]!'@CTA[8-2-1-5-1-5153,F,8,#6]'+[1]!'@CTA[8-2-3-5-1-5153,F,8,#6]'</f>
        <v>0</v>
      </c>
      <c r="K569" s="76">
        <f>[1]!'@CTA[8-2-4-5-1-5153,J,8,#6]'</f>
        <v>0</v>
      </c>
      <c r="L569" s="76">
        <f>[1]!'@CTA[8-2-5-5-1-5153,J,8,#6]'</f>
        <v>0</v>
      </c>
      <c r="M569" s="76">
        <f>[1]!'@CTA[8-2-6-5-1-5153,J,8,#6]'</f>
        <v>0</v>
      </c>
      <c r="N569" s="74">
        <f>[1]!'@CTA[8-2-7-5-1-5153,F,8,#6]'</f>
        <v>0</v>
      </c>
      <c r="O569" s="66">
        <f t="shared" si="36"/>
        <v>0</v>
      </c>
    </row>
    <row r="570" spans="1:15" ht="168" x14ac:dyDescent="0.2">
      <c r="A570" s="67" t="s">
        <v>291</v>
      </c>
      <c r="B570" s="61" t="s">
        <v>152</v>
      </c>
      <c r="C570" s="61" t="s">
        <v>149</v>
      </c>
      <c r="D570" s="62" t="s">
        <v>292</v>
      </c>
      <c r="E570" s="71" t="s">
        <v>257</v>
      </c>
      <c r="F570" s="72">
        <v>5231</v>
      </c>
      <c r="G570" s="73" t="s">
        <v>263</v>
      </c>
      <c r="H570" s="74">
        <f>[1]!'@CTA[8-2-1-5-2-5231,F,8,#6]'</f>
        <v>0</v>
      </c>
      <c r="I570" s="74">
        <f>[1]!'@CTA[8-2-3-5-2-5231,F,8,#6]'</f>
        <v>0</v>
      </c>
      <c r="J570" s="75">
        <f>[1]!'@CTA[8-2-1-5-2-5231,F,8,#6]'+[1]!'@CTA[8-2-3-5-2-5231,F,8,#6]'</f>
        <v>0</v>
      </c>
      <c r="K570" s="76">
        <f>[1]!'@CTA[8-2-4-5-2-5231,J,8,#6]'</f>
        <v>0</v>
      </c>
      <c r="L570" s="76">
        <f>[1]!'@CTA[8-2-5-5-2-5231,J,8,#6]'</f>
        <v>0</v>
      </c>
      <c r="M570" s="76">
        <f>[1]!'@CTA[8-2-6-5-2-5231,J,8,#6]'</f>
        <v>0</v>
      </c>
      <c r="N570" s="74">
        <f>[1]!'@CTA[8-2-7-5-2-5231,F,8,#6]'</f>
        <v>0</v>
      </c>
      <c r="O570" s="66">
        <f t="shared" si="36"/>
        <v>0</v>
      </c>
    </row>
    <row r="571" spans="1:15" ht="168" x14ac:dyDescent="0.2">
      <c r="A571" s="67" t="s">
        <v>291</v>
      </c>
      <c r="B571" s="61" t="s">
        <v>152</v>
      </c>
      <c r="C571" s="61" t="s">
        <v>149</v>
      </c>
      <c r="D571" s="62" t="s">
        <v>292</v>
      </c>
      <c r="E571" s="71" t="s">
        <v>257</v>
      </c>
      <c r="F571" s="72">
        <v>5290</v>
      </c>
      <c r="G571" s="144" t="s">
        <v>395</v>
      </c>
      <c r="H571" s="74">
        <v>0</v>
      </c>
      <c r="I571" s="74">
        <v>0</v>
      </c>
      <c r="J571" s="75">
        <v>0</v>
      </c>
      <c r="K571" s="76">
        <v>0</v>
      </c>
      <c r="L571" s="76">
        <f>19759.22+4300</f>
        <v>24059.22</v>
      </c>
      <c r="M571" s="76">
        <v>0</v>
      </c>
      <c r="N571" s="74">
        <v>0</v>
      </c>
      <c r="O571" s="66">
        <f t="shared" ref="O571" si="38">J571-L571</f>
        <v>-24059.22</v>
      </c>
    </row>
    <row r="572" spans="1:15" ht="168" x14ac:dyDescent="0.2">
      <c r="A572" s="67" t="s">
        <v>291</v>
      </c>
      <c r="B572" s="61" t="s">
        <v>152</v>
      </c>
      <c r="C572" s="61" t="s">
        <v>149</v>
      </c>
      <c r="D572" s="62" t="s">
        <v>292</v>
      </c>
      <c r="E572" s="71" t="s">
        <v>264</v>
      </c>
      <c r="F572" s="80">
        <v>5411</v>
      </c>
      <c r="G572" s="73" t="s">
        <v>265</v>
      </c>
      <c r="H572" s="74">
        <f>[1]!'@CTA[8-2-1-5-4-5411,F,8,#6]'</f>
        <v>0</v>
      </c>
      <c r="I572" s="74">
        <f>[1]!'@CTA[8-2-3-5-4-5411,F,8,#6]'</f>
        <v>0</v>
      </c>
      <c r="J572" s="75">
        <f>[1]!'@CTA[8-2-1-5-4-5411,F,8,#6]'+[1]!'@CTA[8-2-3-5-4-5411,F,8,#6]'</f>
        <v>0</v>
      </c>
      <c r="K572" s="76">
        <f>[1]!'@CTA[8-2-4-5-4-5411,J,8,#6]'</f>
        <v>0</v>
      </c>
      <c r="L572" s="76">
        <f>[1]!'@CTA[8-2-5-5-4-5411,J,8,#6]'</f>
        <v>0</v>
      </c>
      <c r="M572" s="76">
        <f>[1]!'@CTA[8-2-6-5-4-5411,J,8,#6]'</f>
        <v>0</v>
      </c>
      <c r="N572" s="74">
        <f>[1]!'@CTA[8-2-7-5-4-5411,F,8,#6]'</f>
        <v>0</v>
      </c>
      <c r="O572" s="66">
        <f t="shared" si="36"/>
        <v>0</v>
      </c>
    </row>
    <row r="573" spans="1:15" ht="168" x14ac:dyDescent="0.2">
      <c r="A573" s="67" t="s">
        <v>291</v>
      </c>
      <c r="B573" s="61" t="s">
        <v>152</v>
      </c>
      <c r="C573" s="61" t="s">
        <v>149</v>
      </c>
      <c r="D573" s="62" t="s">
        <v>292</v>
      </c>
      <c r="E573" s="71" t="s">
        <v>264</v>
      </c>
      <c r="F573" s="72">
        <v>5491</v>
      </c>
      <c r="G573" s="73" t="s">
        <v>266</v>
      </c>
      <c r="H573" s="74">
        <f>[1]!'@CTA[8-2-1-5-4-5491,F,8,#6]'</f>
        <v>0</v>
      </c>
      <c r="I573" s="74">
        <f>[1]!'@CTA[8-2-3-5-4-5491,F,8,#6]'</f>
        <v>0</v>
      </c>
      <c r="J573" s="75">
        <f>[1]!'@CTA[8-2-1-5-4-5491,F,8,#6]'+[1]!'@CTA[8-2-3-5-4-5491,F,8,#6]'</f>
        <v>0</v>
      </c>
      <c r="K573" s="76">
        <f>[1]!'@CTA[8-2-4-5-4-5491,J,8,#6]'</f>
        <v>0</v>
      </c>
      <c r="L573" s="76">
        <f>[1]!'@CTA[8-2-5-5-4-5491,J,8,#6]'</f>
        <v>0</v>
      </c>
      <c r="M573" s="76">
        <f>[1]!'@CTA[8-2-6-5-4-5491,J,8,#6]'</f>
        <v>0</v>
      </c>
      <c r="N573" s="74">
        <f>[1]!'@CTA[8-2-7-5-4-5491,F,8,#6]'</f>
        <v>0</v>
      </c>
      <c r="O573" s="66">
        <f t="shared" si="36"/>
        <v>0</v>
      </c>
    </row>
    <row r="574" spans="1:15" ht="168" x14ac:dyDescent="0.2">
      <c r="A574" s="67" t="s">
        <v>291</v>
      </c>
      <c r="B574" s="61" t="s">
        <v>152</v>
      </c>
      <c r="C574" s="61" t="s">
        <v>149</v>
      </c>
      <c r="D574" s="62" t="s">
        <v>292</v>
      </c>
      <c r="E574" s="71" t="s">
        <v>257</v>
      </c>
      <c r="F574" s="72">
        <v>5631</v>
      </c>
      <c r="G574" s="73" t="s">
        <v>267</v>
      </c>
      <c r="H574" s="74">
        <f>[1]!'@CTA[8-2-1-5-6-5631,F,8,#6]'</f>
        <v>0</v>
      </c>
      <c r="I574" s="74">
        <f>[1]!'@CTA[8-2-3-5-6-5631,F,8,#6]'</f>
        <v>0</v>
      </c>
      <c r="J574" s="75">
        <f>[1]!'@CTA[8-2-1-5-6-5631,F,8,#6]'+[1]!'@CTA[8-2-3-5-6-5631,F,8,#6]'</f>
        <v>0</v>
      </c>
      <c r="K574" s="76">
        <f>[1]!'@CTA[8-2-4-5-6-5631,J,8,#6]'</f>
        <v>0</v>
      </c>
      <c r="L574" s="76">
        <f>[1]!'@CTA[8-2-5-5-6-5631,J,8,#6]'</f>
        <v>0</v>
      </c>
      <c r="M574" s="76">
        <f>[1]!'@CTA[8-2-6-5-6-5631,J,8,#6]'</f>
        <v>0</v>
      </c>
      <c r="N574" s="74">
        <f>[1]!'@CTA[8-2-7-5-6-5631,F,8,#6]'</f>
        <v>0</v>
      </c>
      <c r="O574" s="66">
        <f t="shared" si="36"/>
        <v>0</v>
      </c>
    </row>
    <row r="575" spans="1:15" ht="168" x14ac:dyDescent="0.2">
      <c r="A575" s="67" t="s">
        <v>291</v>
      </c>
      <c r="B575" s="61" t="s">
        <v>152</v>
      </c>
      <c r="C575" s="61" t="s">
        <v>149</v>
      </c>
      <c r="D575" s="62" t="s">
        <v>292</v>
      </c>
      <c r="E575" s="71" t="s">
        <v>257</v>
      </c>
      <c r="F575" s="72">
        <v>5641</v>
      </c>
      <c r="G575" s="73" t="s">
        <v>396</v>
      </c>
      <c r="H575" s="74">
        <v>0</v>
      </c>
      <c r="I575" s="74">
        <v>9269</v>
      </c>
      <c r="J575" s="75">
        <v>9269</v>
      </c>
      <c r="K575" s="76">
        <v>0</v>
      </c>
      <c r="L575" s="76">
        <v>0</v>
      </c>
      <c r="M575" s="76">
        <v>0</v>
      </c>
      <c r="N575" s="74">
        <v>0</v>
      </c>
      <c r="O575" s="66">
        <f t="shared" ref="O575" si="39">J575-L575</f>
        <v>9269</v>
      </c>
    </row>
    <row r="576" spans="1:15" ht="168" x14ac:dyDescent="0.2">
      <c r="A576" s="67" t="s">
        <v>291</v>
      </c>
      <c r="B576" s="61" t="s">
        <v>152</v>
      </c>
      <c r="C576" s="61" t="s">
        <v>149</v>
      </c>
      <c r="D576" s="62" t="s">
        <v>292</v>
      </c>
      <c r="E576" s="71" t="s">
        <v>257</v>
      </c>
      <c r="F576" s="72">
        <v>5651</v>
      </c>
      <c r="G576" s="73" t="s">
        <v>268</v>
      </c>
      <c r="H576" s="74">
        <f>[1]!'@CTA[8-2-1-5-6-5651,F,8,#6]'</f>
        <v>0</v>
      </c>
      <c r="I576" s="74">
        <f>[1]!'@CTA[8-2-3-5-6-5651,F,8,#6]'</f>
        <v>0</v>
      </c>
      <c r="J576" s="75">
        <f>[1]!'@CTA[8-2-1-5-6-5651,F,8,#6]'+[1]!'@CTA[8-2-3-5-6-5651,F,8,#6]'</f>
        <v>0</v>
      </c>
      <c r="K576" s="76">
        <f>[1]!'@CTA[8-2-4-5-6-5651,J,8,#6]'</f>
        <v>0</v>
      </c>
      <c r="L576" s="76">
        <f>[1]!'@CTA[8-2-5-5-6-5651,J,8,#6]'</f>
        <v>0</v>
      </c>
      <c r="M576" s="76">
        <f>[1]!'@CTA[8-2-6-5-6-5651,J,8,#6]'</f>
        <v>0</v>
      </c>
      <c r="N576" s="74">
        <f>[1]!'@CTA[8-2-7-5-6-5651,F,8,#6]'</f>
        <v>0</v>
      </c>
      <c r="O576" s="66">
        <f t="shared" si="36"/>
        <v>0</v>
      </c>
    </row>
    <row r="577" spans="1:15" ht="168" x14ac:dyDescent="0.2">
      <c r="A577" s="67" t="s">
        <v>291</v>
      </c>
      <c r="B577" s="61" t="s">
        <v>152</v>
      </c>
      <c r="C577" s="61" t="s">
        <v>149</v>
      </c>
      <c r="D577" s="62" t="s">
        <v>292</v>
      </c>
      <c r="E577" s="71" t="s">
        <v>257</v>
      </c>
      <c r="F577" s="72">
        <v>5653</v>
      </c>
      <c r="G577" s="73" t="s">
        <v>293</v>
      </c>
      <c r="H577" s="74">
        <f>[1]!'@CTA[8-2-1-5-6-5653,F,8,#6]'</f>
        <v>0</v>
      </c>
      <c r="I577" s="74">
        <f>[1]!'@CTA[8-2-3-5-6-5653,F,8,#6]'</f>
        <v>0</v>
      </c>
      <c r="J577" s="75">
        <f>[1]!'@CTA[8-2-1-5-6-5653,F,8,#6]'+[1]!'@CTA[8-2-3-5-6-5653,F,8,#6]'</f>
        <v>0</v>
      </c>
      <c r="K577" s="76">
        <f>[1]!'@CTA[8-2-4-5-6-5653,J,8,#6]'</f>
        <v>0</v>
      </c>
      <c r="L577" s="76">
        <f>[1]!'@CTA[8-2-5-5-6-5653,J,8,#6]'</f>
        <v>0</v>
      </c>
      <c r="M577" s="76">
        <f>[1]!'@CTA[8-2-6-5-6-5653,J,8,#6]'</f>
        <v>0</v>
      </c>
      <c r="N577" s="74">
        <f>[1]!'@CTA[8-2-7-5-6-5653,F,8,#6]'</f>
        <v>0</v>
      </c>
      <c r="O577" s="66">
        <f t="shared" si="36"/>
        <v>0</v>
      </c>
    </row>
    <row r="578" spans="1:15" ht="168" x14ac:dyDescent="0.2">
      <c r="A578" s="67" t="s">
        <v>291</v>
      </c>
      <c r="B578" s="61" t="s">
        <v>152</v>
      </c>
      <c r="C578" s="61" t="s">
        <v>149</v>
      </c>
      <c r="D578" s="62" t="s">
        <v>292</v>
      </c>
      <c r="E578" s="71" t="s">
        <v>257</v>
      </c>
      <c r="F578" s="72">
        <v>5671</v>
      </c>
      <c r="G578" s="73" t="s">
        <v>269</v>
      </c>
      <c r="H578" s="74">
        <f>[1]!'@CTA[8-2-1-5-6-5671,F,8,#6]'</f>
        <v>0</v>
      </c>
      <c r="I578" s="74">
        <f>[1]!'@CTA[8-2-3-5-6-5671,F,8,#6]'</f>
        <v>0</v>
      </c>
      <c r="J578" s="75">
        <f>[1]!'@CTA[8-2-1-5-6-5671,F,8,#6]'+[1]!'@CTA[8-2-3-5-6-5671,F,8,#6]'</f>
        <v>0</v>
      </c>
      <c r="K578" s="76">
        <f>[1]!'@CTA[8-2-4-5-6-5671,J,8,#6]'</f>
        <v>0</v>
      </c>
      <c r="L578" s="76">
        <f>[1]!'@CTA[8-2-5-5-6-5671,J,8,#6]'</f>
        <v>0</v>
      </c>
      <c r="M578" s="76">
        <f>[1]!'@CTA[8-2-6-5-6-5671,J,8,#6]'</f>
        <v>0</v>
      </c>
      <c r="N578" s="74">
        <f>[1]!'@CTA[8-2-7-5-6-5671,F,8,#6]'</f>
        <v>0</v>
      </c>
      <c r="O578" s="66">
        <f t="shared" si="36"/>
        <v>0</v>
      </c>
    </row>
    <row r="579" spans="1:15" ht="168" x14ac:dyDescent="0.2">
      <c r="A579" s="67" t="s">
        <v>291</v>
      </c>
      <c r="B579" s="61" t="s">
        <v>152</v>
      </c>
      <c r="C579" s="61" t="s">
        <v>149</v>
      </c>
      <c r="D579" s="62" t="s">
        <v>292</v>
      </c>
      <c r="E579" s="71" t="s">
        <v>270</v>
      </c>
      <c r="F579" s="72">
        <v>5911</v>
      </c>
      <c r="G579" s="73" t="s">
        <v>271</v>
      </c>
      <c r="H579" s="74">
        <f>[1]!'@CTA[8-2-1-5-9-5911,F,8,#6]'</f>
        <v>0</v>
      </c>
      <c r="I579" s="74">
        <f>[1]!'@CTA[8-2-3-5-9-5911,F,8,#6]'</f>
        <v>0</v>
      </c>
      <c r="J579" s="75">
        <f>[1]!'@CTA[8-2-1-5-9-5911,F,8,#6]'+[1]!'@CTA[8-2-3-5-9-5911,F,8,#6]'</f>
        <v>0</v>
      </c>
      <c r="K579" s="76">
        <f>[1]!'@CTA[8-2-4-5-9-5911,J,8,#6]'</f>
        <v>0</v>
      </c>
      <c r="L579" s="76">
        <f>[1]!'@CTA[8-2-5-5-9-5911,J,8,#6]'</f>
        <v>0</v>
      </c>
      <c r="M579" s="76">
        <f>[1]!'@CTA[8-2-6-5-9-5911,J,8,#6]'</f>
        <v>0</v>
      </c>
      <c r="N579" s="74">
        <f>[1]!'@CTA[8-2-7-5-9-5911,F,8,#6]'</f>
        <v>0</v>
      </c>
      <c r="O579" s="66">
        <f t="shared" si="36"/>
        <v>0</v>
      </c>
    </row>
    <row r="580" spans="1:15" ht="168" x14ac:dyDescent="0.2">
      <c r="A580" s="67" t="s">
        <v>291</v>
      </c>
      <c r="B580" s="61"/>
      <c r="C580" s="61" t="s">
        <v>149</v>
      </c>
      <c r="D580" s="62" t="s">
        <v>292</v>
      </c>
      <c r="E580" s="71"/>
      <c r="F580" s="63">
        <v>6000</v>
      </c>
      <c r="G580" s="68" t="s">
        <v>274</v>
      </c>
      <c r="H580" s="69">
        <f t="shared" ref="H580:N580" si="40">SUBTOTAL(9,H581:H584)</f>
        <v>0</v>
      </c>
      <c r="I580" s="69">
        <f t="shared" si="40"/>
        <v>0</v>
      </c>
      <c r="J580" s="69">
        <f t="shared" si="40"/>
        <v>0</v>
      </c>
      <c r="K580" s="70">
        <f t="shared" si="40"/>
        <v>0</v>
      </c>
      <c r="L580" s="70">
        <f t="shared" si="40"/>
        <v>0</v>
      </c>
      <c r="M580" s="70">
        <f t="shared" si="40"/>
        <v>0</v>
      </c>
      <c r="N580" s="69">
        <f t="shared" si="40"/>
        <v>0</v>
      </c>
      <c r="O580" s="66">
        <f t="shared" si="36"/>
        <v>0</v>
      </c>
    </row>
    <row r="581" spans="1:15" ht="168" x14ac:dyDescent="0.2">
      <c r="A581" s="67" t="s">
        <v>291</v>
      </c>
      <c r="B581" s="61" t="s">
        <v>275</v>
      </c>
      <c r="C581" s="61" t="s">
        <v>149</v>
      </c>
      <c r="D581" s="62" t="s">
        <v>292</v>
      </c>
      <c r="E581" s="71" t="s">
        <v>276</v>
      </c>
      <c r="F581" s="72">
        <v>6131</v>
      </c>
      <c r="G581" s="78" t="s">
        <v>277</v>
      </c>
      <c r="H581" s="74">
        <f>[1]!'@CTA[8-2-1-6-1-6131,F,8,#6]'</f>
        <v>0</v>
      </c>
      <c r="I581" s="74">
        <f>[1]!'@CTA[8-2-3-6-1-6131,F,8,#6]'</f>
        <v>0</v>
      </c>
      <c r="J581" s="75">
        <f>[1]!'@CTA[8-2-1-6-1-6131,F,8,#6]'+[1]!'@CTA[8-2-3-6-1-6131,F,8,#6]'</f>
        <v>0</v>
      </c>
      <c r="K581" s="76">
        <f>[1]!'@CTA[8-2-4-6-1-6131,J,8,#6]'</f>
        <v>0</v>
      </c>
      <c r="L581" s="76">
        <f>[1]!'@CTA[8-2-5-6-1-6131,J,8,#6]'</f>
        <v>0</v>
      </c>
      <c r="M581" s="76">
        <f>[1]!'@CTA[8-2-6-6-1-6131,J,8,#6]'</f>
        <v>0</v>
      </c>
      <c r="N581" s="74">
        <f>[1]!'@CTA[8-2-7-6-1-6131,F,8,#6]'</f>
        <v>0</v>
      </c>
      <c r="O581" s="66">
        <f t="shared" si="36"/>
        <v>0</v>
      </c>
    </row>
    <row r="582" spans="1:15" ht="168" x14ac:dyDescent="0.2">
      <c r="A582" s="67" t="s">
        <v>291</v>
      </c>
      <c r="B582" s="61" t="s">
        <v>275</v>
      </c>
      <c r="C582" s="61" t="s">
        <v>149</v>
      </c>
      <c r="D582" s="62" t="s">
        <v>292</v>
      </c>
      <c r="E582" s="71" t="s">
        <v>276</v>
      </c>
      <c r="F582" s="72">
        <v>6161</v>
      </c>
      <c r="G582" s="78" t="s">
        <v>278</v>
      </c>
      <c r="H582" s="74">
        <f>[1]!'@CTA[8-2-1-6-1-6161,F,8,#6]'</f>
        <v>0</v>
      </c>
      <c r="I582" s="74">
        <f>[1]!'@CTA[8-2-3-6-1-6161,F,8,#6]'</f>
        <v>0</v>
      </c>
      <c r="J582" s="75">
        <f>[1]!'@CTA[8-2-1-6-1-6161,F,8,#6]'+[1]!'@CTA[8-2-3-6-1-6161,F,8,#6]'</f>
        <v>0</v>
      </c>
      <c r="K582" s="76">
        <f>[1]!'@CTA[8-2-4-6-1-6161,J,8,#6]'</f>
        <v>0</v>
      </c>
      <c r="L582" s="76">
        <f>[1]!'@CTA[8-2-5-6-1-6161,J,8,#6]'</f>
        <v>0</v>
      </c>
      <c r="M582" s="76">
        <f>[1]!'@CTA[8-2-6-6-1-6161,J,8,#6]'</f>
        <v>0</v>
      </c>
      <c r="N582" s="74">
        <f>[1]!'@CTA[8-2-7-6-1-6161,F,8,#6]'</f>
        <v>0</v>
      </c>
      <c r="O582" s="66">
        <f t="shared" si="36"/>
        <v>0</v>
      </c>
    </row>
    <row r="583" spans="1:15" ht="168" x14ac:dyDescent="0.2">
      <c r="A583" s="67" t="s">
        <v>291</v>
      </c>
      <c r="B583" s="61" t="s">
        <v>275</v>
      </c>
      <c r="C583" s="61" t="s">
        <v>149</v>
      </c>
      <c r="D583" s="62" t="s">
        <v>292</v>
      </c>
      <c r="E583" s="71" t="s">
        <v>276</v>
      </c>
      <c r="F583" s="72">
        <v>6162</v>
      </c>
      <c r="G583" s="78" t="s">
        <v>279</v>
      </c>
      <c r="H583" s="74">
        <f>[1]!'@CTA[8-2-1-6-1-6162,F,8,#6]'</f>
        <v>0</v>
      </c>
      <c r="I583" s="74">
        <f>[1]!'@CTA[8-2-3-6-1-6162,F,8,#6]'</f>
        <v>0</v>
      </c>
      <c r="J583" s="75">
        <f>[1]!'@CTA[8-2-1-6-1-6162,F,8,#6]'+[1]!'@CTA[8-2-3-6-1-6162,F,8,#6]'</f>
        <v>0</v>
      </c>
      <c r="K583" s="76">
        <f>[1]!'@CTA[8-2-4-6-1-6162,J,8,#6]'</f>
        <v>0</v>
      </c>
      <c r="L583" s="76">
        <f>[1]!'@CTA[8-2-5-6-1-6162,J,8,#6]'</f>
        <v>0</v>
      </c>
      <c r="M583" s="76">
        <f>[1]!'@CTA[8-2-6-6-1-6162,J,8,#6]'</f>
        <v>0</v>
      </c>
      <c r="N583" s="74">
        <f>[1]!'@CTA[8-2-7-6-1-6162,F,8,#6]'</f>
        <v>0</v>
      </c>
      <c r="O583" s="66">
        <f t="shared" si="36"/>
        <v>0</v>
      </c>
    </row>
    <row r="584" spans="1:15" ht="168" x14ac:dyDescent="0.2">
      <c r="A584" s="67" t="s">
        <v>291</v>
      </c>
      <c r="B584" s="61" t="s">
        <v>275</v>
      </c>
      <c r="C584" s="61" t="s">
        <v>149</v>
      </c>
      <c r="D584" s="62" t="s">
        <v>292</v>
      </c>
      <c r="E584" s="71" t="s">
        <v>276</v>
      </c>
      <c r="F584" s="72">
        <v>6171</v>
      </c>
      <c r="G584" s="78" t="s">
        <v>280</v>
      </c>
      <c r="H584" s="74">
        <f>[1]!'@CTA[8-2-1-6-1-6171,F,8,#6]'</f>
        <v>0</v>
      </c>
      <c r="I584" s="74">
        <f>[1]!'@CTA[8-2-3-6-1-6171,F,8,#6]'</f>
        <v>0</v>
      </c>
      <c r="J584" s="75">
        <f>[1]!'@CTA[8-2-1-6-1-6171,F,8,#6]'+[1]!'@CTA[8-2-3-6-1-6171,F,8,#6]'</f>
        <v>0</v>
      </c>
      <c r="K584" s="76">
        <f>[1]!'@CTA[8-2-4-6-1-6171,J,8,#6]'</f>
        <v>0</v>
      </c>
      <c r="L584" s="76">
        <f>[1]!'@CTA[8-2-5-6-1-6171,J,8,#6]'</f>
        <v>0</v>
      </c>
      <c r="M584" s="76">
        <f>[1]!'@CTA[8-2-6-6-1-6171,J,8,#6]'</f>
        <v>0</v>
      </c>
      <c r="N584" s="74">
        <f>[1]!'@CTA[8-2-7-6-1-6171,F,8,#6]'</f>
        <v>0</v>
      </c>
      <c r="O584" s="66">
        <f t="shared" ref="O584:O647" si="41">J584-L584</f>
        <v>0</v>
      </c>
    </row>
    <row r="585" spans="1:15" ht="12" x14ac:dyDescent="0.2">
      <c r="A585" s="60"/>
      <c r="B585" s="61"/>
      <c r="C585" s="61"/>
      <c r="D585" s="62"/>
      <c r="E585" s="61"/>
      <c r="F585" s="63"/>
      <c r="G585" s="64" t="s">
        <v>294</v>
      </c>
      <c r="H585" s="79">
        <f>SUBTOTAL(9,H586:H699)</f>
        <v>1147631</v>
      </c>
      <c r="I585" s="79">
        <f t="shared" ref="I585:N585" si="42">SUBTOTAL(9,I586:I699)</f>
        <v>10495.970000000008</v>
      </c>
      <c r="J585" s="79">
        <f t="shared" si="42"/>
        <v>1158126.97</v>
      </c>
      <c r="K585" s="79">
        <f t="shared" si="42"/>
        <v>137441.79000000004</v>
      </c>
      <c r="L585" s="79">
        <f t="shared" si="42"/>
        <v>137441.79000000004</v>
      </c>
      <c r="M585" s="79">
        <f t="shared" si="42"/>
        <v>137441.79000000004</v>
      </c>
      <c r="N585" s="79">
        <f t="shared" si="42"/>
        <v>123652.69999999992</v>
      </c>
      <c r="O585" s="66">
        <f t="shared" si="41"/>
        <v>1020685.1799999999</v>
      </c>
    </row>
    <row r="586" spans="1:15" ht="48" x14ac:dyDescent="0.2">
      <c r="A586" s="67" t="s">
        <v>295</v>
      </c>
      <c r="B586" s="61"/>
      <c r="C586" s="61" t="s">
        <v>149</v>
      </c>
      <c r="D586" s="62" t="s">
        <v>296</v>
      </c>
      <c r="E586" s="61"/>
      <c r="F586" s="63">
        <v>1000</v>
      </c>
      <c r="G586" s="68" t="s">
        <v>151</v>
      </c>
      <c r="H586" s="69">
        <f t="shared" ref="H586:N586" si="43">SUBTOTAL(9,H587:H605)</f>
        <v>496452</v>
      </c>
      <c r="I586" s="69">
        <f t="shared" si="43"/>
        <v>9153.82</v>
      </c>
      <c r="J586" s="69">
        <f t="shared" si="43"/>
        <v>505605.82</v>
      </c>
      <c r="K586" s="70">
        <f t="shared" si="43"/>
        <v>113754.34000000001</v>
      </c>
      <c r="L586" s="70">
        <f t="shared" si="43"/>
        <v>113754.34000000001</v>
      </c>
      <c r="M586" s="70">
        <f t="shared" si="43"/>
        <v>113754.34000000001</v>
      </c>
      <c r="N586" s="69">
        <f t="shared" si="43"/>
        <v>104561.37999999992</v>
      </c>
      <c r="O586" s="66">
        <f t="shared" si="41"/>
        <v>391851.48</v>
      </c>
    </row>
    <row r="587" spans="1:15" ht="48" x14ac:dyDescent="0.2">
      <c r="A587" s="67" t="s">
        <v>295</v>
      </c>
      <c r="B587" s="61" t="s">
        <v>152</v>
      </c>
      <c r="C587" s="61" t="s">
        <v>149</v>
      </c>
      <c r="D587" s="62" t="s">
        <v>296</v>
      </c>
      <c r="E587" s="71" t="s">
        <v>153</v>
      </c>
      <c r="F587" s="72">
        <v>1131</v>
      </c>
      <c r="G587" s="73" t="s">
        <v>154</v>
      </c>
      <c r="H587" s="74">
        <f>[1]!'@CTA[8-2-1-1-1-1131,F,6,#6]'</f>
        <v>303385</v>
      </c>
      <c r="I587" s="74">
        <f>[1]!'@CTA[8-2-3-1-1-1131,F,6,#6]'</f>
        <v>0</v>
      </c>
      <c r="J587" s="75">
        <f>[1]!'@CTA[8-2-1-1-1-1131,F,6,#6]'+[1]!'@CTA[8-2-3-1-1-1131,F,6,#6]'</f>
        <v>303385</v>
      </c>
      <c r="K587" s="76">
        <f>[1]!'@CTA[8-2-4-1-1-1131,J,6,#6]'</f>
        <v>75432.760000000009</v>
      </c>
      <c r="L587" s="76">
        <f>[1]!'@CTA[8-2-5-1-1-1131,J,6,#6]'</f>
        <v>75432.760000000009</v>
      </c>
      <c r="M587" s="76">
        <f>[1]!'@CTA[8-2-6-1-1-1131,J,6,#6]'</f>
        <v>75432.760000000009</v>
      </c>
      <c r="N587" s="74">
        <f>[1]!'@CTA[8-2-7-1-1-1131,F,6,#6]'</f>
        <v>69632.839999999967</v>
      </c>
      <c r="O587" s="66">
        <f t="shared" si="41"/>
        <v>227952.24</v>
      </c>
    </row>
    <row r="588" spans="1:15" ht="48" x14ac:dyDescent="0.2">
      <c r="A588" s="67" t="s">
        <v>295</v>
      </c>
      <c r="B588" s="61" t="s">
        <v>152</v>
      </c>
      <c r="C588" s="61" t="s">
        <v>149</v>
      </c>
      <c r="D588" s="62" t="s">
        <v>296</v>
      </c>
      <c r="E588" s="71" t="s">
        <v>153</v>
      </c>
      <c r="F588" s="72">
        <v>1211</v>
      </c>
      <c r="G588" s="73" t="s">
        <v>156</v>
      </c>
      <c r="H588" s="74">
        <f>[1]!'@CTA[8-2-1-1-2-1211,F,6,#6]'</f>
        <v>0</v>
      </c>
      <c r="I588" s="74">
        <f>[1]!'@CTA[8-2-3-1-2-1211,F,6,#6]'</f>
        <v>0</v>
      </c>
      <c r="J588" s="75">
        <f>[1]!'@CTA[8-2-1-1-2-1211,F,6,#6]'+[1]!'@CTA[8-2-3-1-2-1211,F,6,#6]'</f>
        <v>0</v>
      </c>
      <c r="K588" s="76">
        <f>[1]!'@CTA[8-2-4-1-2-1211,J,6,#6]'</f>
        <v>0</v>
      </c>
      <c r="L588" s="76">
        <f>[1]!'@CTA[8-2-5-1-2-1211,J,6,#6]'</f>
        <v>0</v>
      </c>
      <c r="M588" s="76">
        <f>[1]!'@CTA[8-2-6-1-2-1211,J,6,#6]'</f>
        <v>0</v>
      </c>
      <c r="N588" s="74">
        <f>[1]!'@CTA[8-2-7-1-2-1211,F,6,#6]'</f>
        <v>0</v>
      </c>
      <c r="O588" s="66">
        <f t="shared" si="41"/>
        <v>0</v>
      </c>
    </row>
    <row r="589" spans="1:15" ht="48" x14ac:dyDescent="0.2">
      <c r="A589" s="67" t="s">
        <v>295</v>
      </c>
      <c r="B589" s="61" t="s">
        <v>152</v>
      </c>
      <c r="C589" s="61" t="s">
        <v>149</v>
      </c>
      <c r="D589" s="62" t="s">
        <v>296</v>
      </c>
      <c r="E589" s="71" t="s">
        <v>153</v>
      </c>
      <c r="F589" s="72">
        <v>1221</v>
      </c>
      <c r="G589" s="73" t="s">
        <v>155</v>
      </c>
      <c r="H589" s="74">
        <f>[1]!'@CTA[8-2-1-1-2-1221,F,6,#6]'</f>
        <v>0</v>
      </c>
      <c r="I589" s="74">
        <f>[1]!'@CTA[8-2-3-1-2-1221,F,6,#6]'</f>
        <v>0</v>
      </c>
      <c r="J589" s="75">
        <f>[1]!'@CTA[8-2-1-1-2-1221,F,6,#6]'+[1]!'@CTA[8-2-3-1-2-1221,F,6,#6]'</f>
        <v>0</v>
      </c>
      <c r="K589" s="76">
        <f>[1]!'@CTA[8-2-4-1-2-1221,J,6,#6]'</f>
        <v>0</v>
      </c>
      <c r="L589" s="76">
        <f>[1]!'@CTA[8-2-5-1-2-1221,J,6,#6]'</f>
        <v>0</v>
      </c>
      <c r="M589" s="76">
        <f>[1]!'@CTA[8-2-6-1-2-1221,J,6,#6]'</f>
        <v>0</v>
      </c>
      <c r="N589" s="74">
        <f>[1]!'@CTA[8-2-7-1-2-1221,F,6,#6]'</f>
        <v>0</v>
      </c>
      <c r="O589" s="66">
        <f t="shared" si="41"/>
        <v>0</v>
      </c>
    </row>
    <row r="590" spans="1:15" ht="48" x14ac:dyDescent="0.2">
      <c r="A590" s="67" t="s">
        <v>295</v>
      </c>
      <c r="B590" s="61" t="s">
        <v>152</v>
      </c>
      <c r="C590" s="61" t="s">
        <v>149</v>
      </c>
      <c r="D590" s="62" t="s">
        <v>296</v>
      </c>
      <c r="E590" s="71" t="s">
        <v>153</v>
      </c>
      <c r="F590" s="72">
        <v>1311</v>
      </c>
      <c r="G590" s="73" t="s">
        <v>157</v>
      </c>
      <c r="H590" s="74">
        <f>[1]!'@CTA[8-2-1-1-3-1311,F,6,#6]'</f>
        <v>0</v>
      </c>
      <c r="I590" s="74">
        <f>[1]!'@CTA[8-2-3-1-3-1311,F,6,#6]'</f>
        <v>0</v>
      </c>
      <c r="J590" s="75">
        <f>[1]!'@CTA[8-2-1-1-3-1311,F,6,#6]'+[1]!'@CTA[8-2-3-1-3-1311,F,6,#6]'</f>
        <v>0</v>
      </c>
      <c r="K590" s="76">
        <f>[1]!'@CTA[8-2-4-1-3-1311,J,6,#6]'</f>
        <v>0</v>
      </c>
      <c r="L590" s="76">
        <f>[1]!'@CTA[8-2-5-1-3-1311,J,6,#6]'</f>
        <v>0</v>
      </c>
      <c r="M590" s="76">
        <f>[1]!'@CTA[8-2-6-1-3-1311,J,6,#6]'</f>
        <v>0</v>
      </c>
      <c r="N590" s="74">
        <f>[1]!'@CTA[8-2-7-1-3-1311,F,6,#6]'</f>
        <v>0</v>
      </c>
      <c r="O590" s="66">
        <f t="shared" si="41"/>
        <v>0</v>
      </c>
    </row>
    <row r="591" spans="1:15" ht="48" x14ac:dyDescent="0.2">
      <c r="A591" s="67" t="s">
        <v>295</v>
      </c>
      <c r="B591" s="61" t="s">
        <v>152</v>
      </c>
      <c r="C591" s="61" t="s">
        <v>149</v>
      </c>
      <c r="D591" s="62" t="s">
        <v>296</v>
      </c>
      <c r="E591" s="71" t="s">
        <v>153</v>
      </c>
      <c r="F591" s="72">
        <v>1321</v>
      </c>
      <c r="G591" s="73" t="s">
        <v>158</v>
      </c>
      <c r="H591" s="74">
        <f>[1]!'@CTA[8-2-1-1-3-1321,F,6,#6]'</f>
        <v>0</v>
      </c>
      <c r="I591" s="74">
        <f>[1]!'@CTA[8-2-3-1-3-1321,F,6,#6]'</f>
        <v>0</v>
      </c>
      <c r="J591" s="75">
        <f>[1]!'@CTA[8-2-1-1-3-1321,F,6,#6]'+[1]!'@CTA[8-2-3-1-3-1321,F,6,#6]'</f>
        <v>0</v>
      </c>
      <c r="K591" s="76">
        <f>[1]!'@CTA[8-2-4-1-3-1321,J,6,#6]'</f>
        <v>0</v>
      </c>
      <c r="L591" s="76">
        <f>[1]!'@CTA[8-2-5-1-3-1321,J,6,#6]'</f>
        <v>0</v>
      </c>
      <c r="M591" s="76">
        <f>[1]!'@CTA[8-2-6-1-3-1321,J,6,#6]'</f>
        <v>0</v>
      </c>
      <c r="N591" s="74">
        <f>[1]!'@CTA[8-2-7-1-3-1321,F,6,#6]'</f>
        <v>0</v>
      </c>
      <c r="O591" s="66">
        <f t="shared" si="41"/>
        <v>0</v>
      </c>
    </row>
    <row r="592" spans="1:15" ht="48" x14ac:dyDescent="0.2">
      <c r="A592" s="67" t="s">
        <v>295</v>
      </c>
      <c r="B592" s="61" t="s">
        <v>152</v>
      </c>
      <c r="C592" s="61" t="s">
        <v>149</v>
      </c>
      <c r="D592" s="62" t="s">
        <v>296</v>
      </c>
      <c r="E592" s="71" t="s">
        <v>153</v>
      </c>
      <c r="F592" s="72">
        <v>1322</v>
      </c>
      <c r="G592" s="73" t="s">
        <v>159</v>
      </c>
      <c r="H592" s="74">
        <f>[1]!'@CTA[8-2-1-1-3-1322,F,6,#6]'</f>
        <v>9682</v>
      </c>
      <c r="I592" s="74">
        <f>[1]!'@CTA[8-2-3-1-3-1322,F,6,#6]'</f>
        <v>0</v>
      </c>
      <c r="J592" s="75">
        <f>[1]!'@CTA[8-2-1-1-3-1322,F,6,#6]'+[1]!'@CTA[8-2-3-1-3-1322,F,6,#6]'</f>
        <v>9682</v>
      </c>
      <c r="K592" s="76">
        <f>[1]!'@CTA[8-2-4-1-3-1322,J,6,#6]'</f>
        <v>1715.62</v>
      </c>
      <c r="L592" s="76">
        <f>[1]!'@CTA[8-2-5-1-3-1322,J,6,#6]'</f>
        <v>1715.62</v>
      </c>
      <c r="M592" s="76">
        <f>[1]!'@CTA[8-2-6-1-3-1322,J,6,#6]'</f>
        <v>1715.62</v>
      </c>
      <c r="N592" s="74">
        <f>[1]!'@CTA[8-2-7-1-3-1322,F,6,#6]'</f>
        <v>1715.6200000000008</v>
      </c>
      <c r="O592" s="66">
        <f t="shared" si="41"/>
        <v>7966.38</v>
      </c>
    </row>
    <row r="593" spans="1:15" ht="48" x14ac:dyDescent="0.2">
      <c r="A593" s="67" t="s">
        <v>295</v>
      </c>
      <c r="B593" s="61" t="s">
        <v>152</v>
      </c>
      <c r="C593" s="61" t="s">
        <v>149</v>
      </c>
      <c r="D593" s="62" t="s">
        <v>296</v>
      </c>
      <c r="E593" s="71" t="s">
        <v>153</v>
      </c>
      <c r="F593" s="72">
        <v>1323</v>
      </c>
      <c r="G593" s="73" t="s">
        <v>160</v>
      </c>
      <c r="H593" s="74">
        <f>[1]!'@CTA[8-2-1-1-3-1323,F,6,#6]'</f>
        <v>34800</v>
      </c>
      <c r="I593" s="74">
        <f>[1]!'@CTA[8-2-3-1-3-1323,F,6,#6]'</f>
        <v>0</v>
      </c>
      <c r="J593" s="75">
        <f>[1]!'@CTA[8-2-1-1-3-1323,F,6,#6]'+[1]!'@CTA[8-2-3-1-3-1323,F,6,#6]'</f>
        <v>34800</v>
      </c>
      <c r="K593" s="76">
        <f>[1]!'@CTA[8-2-4-1-3-1323,J,6,#6]'</f>
        <v>0</v>
      </c>
      <c r="L593" s="76">
        <f>[1]!'@CTA[8-2-5-1-3-1323,J,6,#6]'</f>
        <v>0</v>
      </c>
      <c r="M593" s="76">
        <f>[1]!'@CTA[8-2-6-1-3-1323,J,6,#6]'</f>
        <v>0</v>
      </c>
      <c r="N593" s="74">
        <f>[1]!'@CTA[8-2-7-1-3-1323,F,6,#6]'</f>
        <v>0</v>
      </c>
      <c r="O593" s="66">
        <f t="shared" si="41"/>
        <v>34800</v>
      </c>
    </row>
    <row r="594" spans="1:15" ht="48" x14ac:dyDescent="0.2">
      <c r="A594" s="67" t="s">
        <v>295</v>
      </c>
      <c r="B594" s="61" t="s">
        <v>152</v>
      </c>
      <c r="C594" s="61" t="s">
        <v>149</v>
      </c>
      <c r="D594" s="62" t="s">
        <v>296</v>
      </c>
      <c r="E594" s="71" t="s">
        <v>153</v>
      </c>
      <c r="F594" s="72">
        <v>1331</v>
      </c>
      <c r="G594" s="73" t="s">
        <v>161</v>
      </c>
      <c r="H594" s="74">
        <f>[1]!'@CTA[8-2-1-1-3-1331,F,6,#6]'</f>
        <v>0</v>
      </c>
      <c r="I594" s="74">
        <f>[1]!'@CTA[8-2-3-1-3-1331,F,6,#6]'</f>
        <v>0</v>
      </c>
      <c r="J594" s="75">
        <f>[1]!'@CTA[8-2-1-1-3-1331,F,6,#6]'+[1]!'@CTA[8-2-3-1-3-1331,F,6,#6]'</f>
        <v>0</v>
      </c>
      <c r="K594" s="76">
        <f>[1]!'@CTA[8-2-4-1-3-1331,J,6,#6]'</f>
        <v>0</v>
      </c>
      <c r="L594" s="76">
        <f>[1]!'@CTA[8-2-5-1-3-1331,J,6,#6]'</f>
        <v>0</v>
      </c>
      <c r="M594" s="76">
        <f>[1]!'@CTA[8-2-6-1-3-1331,J,6,#6]'</f>
        <v>0</v>
      </c>
      <c r="N594" s="74">
        <f>[1]!'@CTA[8-2-7-1-3-1331,F,6,#6]'</f>
        <v>0</v>
      </c>
      <c r="O594" s="66">
        <f t="shared" si="41"/>
        <v>0</v>
      </c>
    </row>
    <row r="595" spans="1:15" ht="48" x14ac:dyDescent="0.2">
      <c r="A595" s="67" t="s">
        <v>295</v>
      </c>
      <c r="B595" s="61" t="s">
        <v>152</v>
      </c>
      <c r="C595" s="61" t="s">
        <v>149</v>
      </c>
      <c r="D595" s="62" t="s">
        <v>296</v>
      </c>
      <c r="E595" s="71" t="s">
        <v>153</v>
      </c>
      <c r="F595" s="72">
        <v>1341</v>
      </c>
      <c r="G595" s="73" t="s">
        <v>162</v>
      </c>
      <c r="H595" s="74">
        <f>[1]!'@CTA[8-2-1-1-3-1341,F,6,#6]'</f>
        <v>5166</v>
      </c>
      <c r="I595" s="74">
        <f>[1]!'@CTA[8-2-3-1-3-1341,F,6,#6]'</f>
        <v>0</v>
      </c>
      <c r="J595" s="75">
        <f>[1]!'@CTA[8-2-1-1-3-1341,F,6,#6]'+[1]!'@CTA[8-2-3-1-3-1341,F,6,#6]'</f>
        <v>5166</v>
      </c>
      <c r="K595" s="76">
        <f>[1]!'@CTA[8-2-4-1-3-1341,J,6,#6]'</f>
        <v>0</v>
      </c>
      <c r="L595" s="76">
        <f>[1]!'@CTA[8-2-5-1-3-1341,J,6,#6]'</f>
        <v>0</v>
      </c>
      <c r="M595" s="76">
        <f>[1]!'@CTA[8-2-6-1-3-1341,J,6,#6]'</f>
        <v>0</v>
      </c>
      <c r="N595" s="74">
        <f>[1]!'@CTA[8-2-7-1-3-1341,F,6,#6]'</f>
        <v>0</v>
      </c>
      <c r="O595" s="66">
        <f t="shared" si="41"/>
        <v>5166</v>
      </c>
    </row>
    <row r="596" spans="1:15" ht="48" x14ac:dyDescent="0.2">
      <c r="A596" s="67" t="s">
        <v>295</v>
      </c>
      <c r="B596" s="61" t="s">
        <v>163</v>
      </c>
      <c r="C596" s="61" t="s">
        <v>149</v>
      </c>
      <c r="D596" s="62" t="s">
        <v>296</v>
      </c>
      <c r="E596" s="71" t="s">
        <v>164</v>
      </c>
      <c r="F596" s="72">
        <v>1411</v>
      </c>
      <c r="G596" s="73" t="s">
        <v>165</v>
      </c>
      <c r="H596" s="74">
        <f>[1]!'@CTA[8-2-1-1-4-1411,F,6,#6]'</f>
        <v>31377</v>
      </c>
      <c r="I596" s="74">
        <f>[1]!'@CTA[8-2-3-1-4-1411,F,6,#6]'</f>
        <v>2791.37</v>
      </c>
      <c r="J596" s="75">
        <f>[1]!'@CTA[8-2-1-1-4-1411,F,6,#6]'+[1]!'@CTA[8-2-3-1-4-1411,F,6,#6]'</f>
        <v>34168.370000000003</v>
      </c>
      <c r="K596" s="76">
        <f>[1]!'@CTA[8-2-4-1-4-1411,J,6,#6]'</f>
        <v>8702.130000000001</v>
      </c>
      <c r="L596" s="76">
        <f>[1]!'@CTA[8-2-5-1-4-1411,J,6,#6]'</f>
        <v>8702.130000000001</v>
      </c>
      <c r="M596" s="76">
        <f>[1]!'@CTA[8-2-6-1-4-1411,J,6,#6]'</f>
        <v>8702.130000000001</v>
      </c>
      <c r="N596" s="74">
        <f>[1]!'@CTA[8-2-7-1-4-1411,F,6,#6]'</f>
        <v>5825.7200000000075</v>
      </c>
      <c r="O596" s="66">
        <f t="shared" si="41"/>
        <v>25466.240000000002</v>
      </c>
    </row>
    <row r="597" spans="1:15" ht="48" x14ac:dyDescent="0.2">
      <c r="A597" s="67" t="s">
        <v>295</v>
      </c>
      <c r="B597" s="61" t="s">
        <v>163</v>
      </c>
      <c r="C597" s="61" t="s">
        <v>149</v>
      </c>
      <c r="D597" s="62" t="s">
        <v>296</v>
      </c>
      <c r="E597" s="71" t="s">
        <v>164</v>
      </c>
      <c r="F597" s="72">
        <v>1421</v>
      </c>
      <c r="G597" s="73" t="s">
        <v>166</v>
      </c>
      <c r="H597" s="74">
        <f>[1]!'@CTA[8-2-1-1-4-1421,F,6,#6]'</f>
        <v>17825</v>
      </c>
      <c r="I597" s="74">
        <f>[1]!'@CTA[8-2-3-1-4-1421,F,6,#6]'</f>
        <v>3134.21</v>
      </c>
      <c r="J597" s="75">
        <f>[1]!'@CTA[8-2-1-1-4-1421,F,6,#6]'+[1]!'@CTA[8-2-3-1-4-1421,F,6,#6]'</f>
        <v>20959.21</v>
      </c>
      <c r="K597" s="76">
        <f>[1]!'@CTA[8-2-4-1-4-1421,J,6,#6]'</f>
        <v>3418.11</v>
      </c>
      <c r="L597" s="76">
        <f>[1]!'@CTA[8-2-5-1-4-1421,J,6,#6]'</f>
        <v>3418.11</v>
      </c>
      <c r="M597" s="76">
        <f>[1]!'@CTA[8-2-6-1-4-1421,J,6,#6]'</f>
        <v>3418.11</v>
      </c>
      <c r="N597" s="74">
        <f>[1]!'@CTA[8-2-7-1-4-1421,F,6,#6]'</f>
        <v>3418.1099999999965</v>
      </c>
      <c r="O597" s="66">
        <f t="shared" si="41"/>
        <v>17541.099999999999</v>
      </c>
    </row>
    <row r="598" spans="1:15" ht="48" x14ac:dyDescent="0.2">
      <c r="A598" s="67" t="s">
        <v>295</v>
      </c>
      <c r="B598" s="61" t="s">
        <v>163</v>
      </c>
      <c r="C598" s="61" t="s">
        <v>149</v>
      </c>
      <c r="D598" s="62" t="s">
        <v>296</v>
      </c>
      <c r="E598" s="71" t="s">
        <v>164</v>
      </c>
      <c r="F598" s="72">
        <v>1431</v>
      </c>
      <c r="G598" s="73" t="s">
        <v>167</v>
      </c>
      <c r="H598" s="74">
        <f>[1]!'@CTA[8-2-1-1-4-1431,F,6,#6]'</f>
        <v>18360</v>
      </c>
      <c r="I598" s="74">
        <f>[1]!'@CTA[8-2-3-1-4-1431,F,6,#6]'</f>
        <v>3228.24</v>
      </c>
      <c r="J598" s="75">
        <f>[1]!'@CTA[8-2-1-1-4-1431,F,6,#6]'+[1]!'@CTA[8-2-3-1-4-1431,F,6,#6]'</f>
        <v>21588.239999999998</v>
      </c>
      <c r="K598" s="76">
        <f>[1]!'@CTA[8-2-4-1-4-1431,J,6,#6]'</f>
        <v>3520.65</v>
      </c>
      <c r="L598" s="76">
        <f>[1]!'@CTA[8-2-5-1-4-1431,J,6,#6]'</f>
        <v>3520.65</v>
      </c>
      <c r="M598" s="76">
        <f>[1]!'@CTA[8-2-6-1-4-1431,J,6,#6]'</f>
        <v>3520.65</v>
      </c>
      <c r="N598" s="74">
        <f>[1]!'@CTA[8-2-7-1-4-1431,F,6,#6]'</f>
        <v>3520.65</v>
      </c>
      <c r="O598" s="66">
        <f t="shared" si="41"/>
        <v>18067.589999999997</v>
      </c>
    </row>
    <row r="599" spans="1:15" ht="48" x14ac:dyDescent="0.2">
      <c r="A599" s="67" t="s">
        <v>295</v>
      </c>
      <c r="B599" s="61" t="s">
        <v>163</v>
      </c>
      <c r="C599" s="61" t="s">
        <v>149</v>
      </c>
      <c r="D599" s="62" t="s">
        <v>296</v>
      </c>
      <c r="E599" s="71" t="s">
        <v>164</v>
      </c>
      <c r="F599" s="72">
        <v>1441</v>
      </c>
      <c r="G599" s="73" t="s">
        <v>168</v>
      </c>
      <c r="H599" s="74">
        <f>[1]!'@CTA[8-2-1-1-4-1441,F,6,#6]'</f>
        <v>939</v>
      </c>
      <c r="I599" s="74">
        <f>[1]!'@CTA[8-2-3-1-4-1441,F,6,#6]'</f>
        <v>0</v>
      </c>
      <c r="J599" s="75">
        <f>[1]!'@CTA[8-2-1-1-4-1441,F,6,#6]'+[1]!'@CTA[8-2-3-1-4-1441,F,6,#6]'</f>
        <v>939</v>
      </c>
      <c r="K599" s="76">
        <f>[1]!'@CTA[8-2-4-1-4-1441,J,6,#6]'</f>
        <v>222.85</v>
      </c>
      <c r="L599" s="76">
        <f>[1]!'@CTA[8-2-5-1-4-1441,J,6,#6]'</f>
        <v>222.85</v>
      </c>
      <c r="M599" s="76">
        <f>[1]!'@CTA[8-2-6-1-4-1441,J,6,#6]'</f>
        <v>222.85</v>
      </c>
      <c r="N599" s="74">
        <f>[1]!'@CTA[8-2-7-1-4-1441,F,6,#6]'</f>
        <v>222.85000000000022</v>
      </c>
      <c r="O599" s="66">
        <f t="shared" si="41"/>
        <v>716.15</v>
      </c>
    </row>
    <row r="600" spans="1:15" ht="48" x14ac:dyDescent="0.2">
      <c r="A600" s="67" t="s">
        <v>295</v>
      </c>
      <c r="B600" s="61" t="s">
        <v>169</v>
      </c>
      <c r="C600" s="61" t="s">
        <v>149</v>
      </c>
      <c r="D600" s="62" t="s">
        <v>296</v>
      </c>
      <c r="E600" s="71" t="s">
        <v>153</v>
      </c>
      <c r="F600" s="72">
        <v>1521</v>
      </c>
      <c r="G600" s="73" t="s">
        <v>170</v>
      </c>
      <c r="H600" s="74">
        <f>[1]!'@CTA[8-2-1-1-5-1521,F,6,#6]'</f>
        <v>0</v>
      </c>
      <c r="I600" s="74">
        <f>[1]!'@CTA[8-2-3-1-5-1521,F,6,#6]'</f>
        <v>0</v>
      </c>
      <c r="J600" s="75">
        <f>[1]!'@CTA[8-2-1-1-5-1521,F,6,#6]'+[1]!'@CTA[8-2-3-1-5-1521,F,6,#6]'</f>
        <v>0</v>
      </c>
      <c r="K600" s="76">
        <f>[1]!'@CTA[8-2-4-1-5-1521,J,6,#6]'</f>
        <v>0</v>
      </c>
      <c r="L600" s="76">
        <f>[1]!'@CTA[8-2-5-1-5-1521,J,6,#6]'</f>
        <v>0</v>
      </c>
      <c r="M600" s="76">
        <f>[1]!'@CTA[8-2-6-1-5-1521,J,6,#6]'</f>
        <v>0</v>
      </c>
      <c r="N600" s="74">
        <f>[1]!'@CTA[8-2-7-1-5-1521,F,6,#6]'</f>
        <v>0</v>
      </c>
      <c r="O600" s="66">
        <f t="shared" si="41"/>
        <v>0</v>
      </c>
    </row>
    <row r="601" spans="1:15" ht="48" x14ac:dyDescent="0.2">
      <c r="A601" s="67" t="s">
        <v>295</v>
      </c>
      <c r="B601" s="61" t="s">
        <v>152</v>
      </c>
      <c r="C601" s="61" t="s">
        <v>149</v>
      </c>
      <c r="D601" s="62" t="s">
        <v>296</v>
      </c>
      <c r="E601" s="71" t="s">
        <v>153</v>
      </c>
      <c r="F601" s="72">
        <v>1522</v>
      </c>
      <c r="G601" s="73" t="s">
        <v>171</v>
      </c>
      <c r="H601" s="74">
        <f>[1]!'@CTA[8-2-1-1-5-1522,F,6,#6]'</f>
        <v>0</v>
      </c>
      <c r="I601" s="74">
        <f>[1]!'@CTA[8-2-3-1-5-1522,F,6,#6]'</f>
        <v>0</v>
      </c>
      <c r="J601" s="75">
        <f>[1]!'@CTA[8-2-1-1-5-1522,F,6,#6]'+[1]!'@CTA[8-2-3-1-5-1522,F,6,#6]'</f>
        <v>0</v>
      </c>
      <c r="K601" s="76">
        <f>[1]!'@CTA[8-2-4-1-5-1522,J,6,#6]'</f>
        <v>0</v>
      </c>
      <c r="L601" s="76">
        <f>[1]!'@CTA[8-2-5-1-5-1522,J,6,#6]'</f>
        <v>0</v>
      </c>
      <c r="M601" s="76">
        <f>[1]!'@CTA[8-2-6-1-5-1522,J,6,#6]'</f>
        <v>0</v>
      </c>
      <c r="N601" s="74">
        <f>[1]!'@CTA[8-2-7-1-5-1522,F,6,#6]'</f>
        <v>0</v>
      </c>
      <c r="O601" s="66">
        <f t="shared" si="41"/>
        <v>0</v>
      </c>
    </row>
    <row r="602" spans="1:15" ht="48" x14ac:dyDescent="0.2">
      <c r="A602" s="67" t="s">
        <v>295</v>
      </c>
      <c r="B602" s="61" t="s">
        <v>152</v>
      </c>
      <c r="C602" s="61" t="s">
        <v>149</v>
      </c>
      <c r="D602" s="62" t="s">
        <v>296</v>
      </c>
      <c r="E602" s="71" t="s">
        <v>153</v>
      </c>
      <c r="F602" s="72">
        <v>1541</v>
      </c>
      <c r="G602" s="73" t="s">
        <v>172</v>
      </c>
      <c r="H602" s="74">
        <f>[1]!'@CTA[8-2-1-1-5-1541,F,6,#6]'</f>
        <v>60452</v>
      </c>
      <c r="I602" s="74">
        <f>[1]!'@CTA[8-2-3-1-5-1541,F,6,#6]'</f>
        <v>0</v>
      </c>
      <c r="J602" s="75">
        <f>[1]!'@CTA[8-2-1-1-5-1541,F,6,#6]'+[1]!'@CTA[8-2-3-1-5-1541,F,6,#6]'</f>
        <v>60452</v>
      </c>
      <c r="K602" s="76">
        <f>[1]!'@CTA[8-2-4-1-5-1541,J,6,#6]'</f>
        <v>16624.23</v>
      </c>
      <c r="L602" s="76">
        <f>[1]!'@CTA[8-2-5-1-5-1541,J,6,#6]'</f>
        <v>16624.23</v>
      </c>
      <c r="M602" s="76">
        <f>[1]!'@CTA[8-2-6-1-5-1541,J,6,#6]'</f>
        <v>16624.23</v>
      </c>
      <c r="N602" s="74">
        <f>[1]!'@CTA[8-2-7-1-5-1541,F,6,#6]'</f>
        <v>16624.229999999949</v>
      </c>
      <c r="O602" s="66">
        <f t="shared" si="41"/>
        <v>43827.770000000004</v>
      </c>
    </row>
    <row r="603" spans="1:15" ht="48" x14ac:dyDescent="0.2">
      <c r="A603" s="67" t="s">
        <v>295</v>
      </c>
      <c r="B603" s="61" t="s">
        <v>152</v>
      </c>
      <c r="C603" s="61" t="s">
        <v>149</v>
      </c>
      <c r="D603" s="62" t="s">
        <v>296</v>
      </c>
      <c r="E603" s="71" t="s">
        <v>153</v>
      </c>
      <c r="F603" s="72">
        <v>1542</v>
      </c>
      <c r="G603" s="73" t="s">
        <v>173</v>
      </c>
      <c r="H603" s="74">
        <f>[1]!'@CTA[8-2-1-1-5-1542,F,6,#6]'</f>
        <v>14466</v>
      </c>
      <c r="I603" s="74">
        <f>[1]!'@CTA[8-2-3-1-5-1542,F,6,#6]'</f>
        <v>0</v>
      </c>
      <c r="J603" s="75">
        <f>[1]!'@CTA[8-2-1-1-5-1542,F,6,#6]'+[1]!'@CTA[8-2-3-1-5-1542,F,6,#6]'</f>
        <v>14466</v>
      </c>
      <c r="K603" s="76">
        <f>[1]!'@CTA[8-2-4-1-5-1542,J,6,#6]'</f>
        <v>4117.99</v>
      </c>
      <c r="L603" s="76">
        <f>[1]!'@CTA[8-2-5-1-5-1542,J,6,#6]'</f>
        <v>4117.99</v>
      </c>
      <c r="M603" s="76">
        <f>[1]!'@CTA[8-2-6-1-5-1542,J,6,#6]'</f>
        <v>4117.99</v>
      </c>
      <c r="N603" s="74">
        <f>[1]!'@CTA[8-2-7-1-5-1542,F,6,#6]'</f>
        <v>3601.3599999999983</v>
      </c>
      <c r="O603" s="66">
        <f t="shared" si="41"/>
        <v>10348.01</v>
      </c>
    </row>
    <row r="604" spans="1:15" ht="48" x14ac:dyDescent="0.2">
      <c r="A604" s="67" t="s">
        <v>295</v>
      </c>
      <c r="B604" s="61" t="s">
        <v>152</v>
      </c>
      <c r="C604" s="61" t="s">
        <v>149</v>
      </c>
      <c r="D604" s="62" t="s">
        <v>296</v>
      </c>
      <c r="E604" s="71" t="s">
        <v>153</v>
      </c>
      <c r="F604" s="72">
        <v>1543</v>
      </c>
      <c r="G604" s="73" t="s">
        <v>174</v>
      </c>
      <c r="H604" s="74">
        <f>[1]!'@CTA[8-2-1-1-5-1543,F,6,#6]'</f>
        <v>0</v>
      </c>
      <c r="I604" s="74">
        <f>[1]!'@CTA[8-2-3-1-5-1543,F,6,#6]'</f>
        <v>0</v>
      </c>
      <c r="J604" s="75">
        <f>[1]!'@CTA[8-2-1-1-5-1543,F,6,#6]'+[1]!'@CTA[8-2-3-1-5-1543,F,6,#6]'</f>
        <v>0</v>
      </c>
      <c r="K604" s="76">
        <f>[1]!'@CTA[8-2-4-1-5-1543,J,6,#6]'</f>
        <v>0</v>
      </c>
      <c r="L604" s="76">
        <f>[1]!'@CTA[8-2-5-1-5-1543,J,6,#6]'</f>
        <v>0</v>
      </c>
      <c r="M604" s="76">
        <f>[1]!'@CTA[8-2-6-1-5-1543,J,6,#6]'</f>
        <v>0</v>
      </c>
      <c r="N604" s="74">
        <f>[1]!'@CTA[8-2-7-1-5-1543,F,6,#6]'</f>
        <v>0</v>
      </c>
      <c r="O604" s="66">
        <f t="shared" si="41"/>
        <v>0</v>
      </c>
    </row>
    <row r="605" spans="1:15" ht="48" x14ac:dyDescent="0.2">
      <c r="A605" s="67" t="s">
        <v>295</v>
      </c>
      <c r="B605" s="61" t="s">
        <v>152</v>
      </c>
      <c r="C605" s="61" t="s">
        <v>149</v>
      </c>
      <c r="D605" s="62" t="s">
        <v>296</v>
      </c>
      <c r="E605" s="71" t="s">
        <v>153</v>
      </c>
      <c r="F605" s="72">
        <v>1544</v>
      </c>
      <c r="G605" s="73" t="s">
        <v>175</v>
      </c>
      <c r="H605" s="74">
        <f>[1]!'@CTA[8-2-1-1-5-1544,F,6,#6]'</f>
        <v>0</v>
      </c>
      <c r="I605" s="74">
        <f>[1]!'@CTA[8-2-3-1-5-1544,F,6,#6]'</f>
        <v>0</v>
      </c>
      <c r="J605" s="75">
        <f>[1]!'@CTA[8-2-1-1-5-1544,F,6,#6]'+[1]!'@CTA[8-2-3-1-5-1544,F,6,#6]'</f>
        <v>0</v>
      </c>
      <c r="K605" s="76">
        <f>[1]!'@CTA[8-2-4-1-5-1544,J,6,#6]'</f>
        <v>0</v>
      </c>
      <c r="L605" s="76">
        <f>[1]!'@CTA[8-2-5-1-5-1544,J,6,#6]'</f>
        <v>0</v>
      </c>
      <c r="M605" s="76">
        <f>[1]!'@CTA[8-2-6-1-5-1544,J,6,#6]'</f>
        <v>0</v>
      </c>
      <c r="N605" s="74">
        <f>[1]!'@CTA[8-2-7-1-5-1544,F,6,#6]'</f>
        <v>0</v>
      </c>
      <c r="O605" s="66">
        <f t="shared" si="41"/>
        <v>0</v>
      </c>
    </row>
    <row r="606" spans="1:15" ht="48" x14ac:dyDescent="0.2">
      <c r="A606" s="67" t="s">
        <v>295</v>
      </c>
      <c r="B606" s="61"/>
      <c r="C606" s="61" t="s">
        <v>149</v>
      </c>
      <c r="D606" s="62" t="s">
        <v>296</v>
      </c>
      <c r="E606" s="61"/>
      <c r="F606" s="63">
        <v>2000</v>
      </c>
      <c r="G606" s="77" t="s">
        <v>176</v>
      </c>
      <c r="H606" s="69">
        <f t="shared" ref="H606:N606" si="44">SUBTOTAL(9,H607:H631)</f>
        <v>193870</v>
      </c>
      <c r="I606" s="69">
        <f t="shared" si="44"/>
        <v>8.7538865045644343E-12</v>
      </c>
      <c r="J606" s="69">
        <f t="shared" si="44"/>
        <v>193870</v>
      </c>
      <c r="K606" s="70">
        <f t="shared" si="44"/>
        <v>17907.390000000003</v>
      </c>
      <c r="L606" s="70">
        <f t="shared" si="44"/>
        <v>17907.390000000003</v>
      </c>
      <c r="M606" s="70">
        <f t="shared" si="44"/>
        <v>17907.390000000003</v>
      </c>
      <c r="N606" s="69">
        <f t="shared" si="44"/>
        <v>14041.899999999992</v>
      </c>
      <c r="O606" s="66">
        <f t="shared" si="41"/>
        <v>175962.61</v>
      </c>
    </row>
    <row r="607" spans="1:15" ht="48" x14ac:dyDescent="0.2">
      <c r="A607" s="67" t="s">
        <v>295</v>
      </c>
      <c r="B607" s="61" t="s">
        <v>152</v>
      </c>
      <c r="C607" s="61" t="s">
        <v>149</v>
      </c>
      <c r="D607" s="62" t="s">
        <v>296</v>
      </c>
      <c r="E607" s="71" t="s">
        <v>177</v>
      </c>
      <c r="F607" s="72">
        <v>2111</v>
      </c>
      <c r="G607" s="73" t="s">
        <v>178</v>
      </c>
      <c r="H607" s="74">
        <f>[1]!'@CTA[8-2-1-2-1-2111,F,6,#6]'</f>
        <v>9396</v>
      </c>
      <c r="I607" s="74">
        <f>[1]!'@CTA[8-2-3-2-1-2111,F,6,#6]'</f>
        <v>0</v>
      </c>
      <c r="J607" s="75">
        <f>[1]!'@CTA[8-2-1-2-1-2111,F,6,#6]'+[1]!'@CTA[8-2-3-2-1-2111,F,6,#6]'</f>
        <v>9396</v>
      </c>
      <c r="K607" s="76">
        <f>[1]!'@CTA[8-2-4-2-1-2111,J,6,#6]'</f>
        <v>432.3</v>
      </c>
      <c r="L607" s="76">
        <f>[1]!'@CTA[8-2-5-2-1-2111,J,6,#6]'</f>
        <v>432.3</v>
      </c>
      <c r="M607" s="76">
        <f>[1]!'@CTA[8-2-6-2-1-2111,J,6,#6]'</f>
        <v>432.3</v>
      </c>
      <c r="N607" s="74">
        <f>[1]!'@CTA[8-2-7-2-1-2111,F,6,#6]'</f>
        <v>432.2999999999991</v>
      </c>
      <c r="O607" s="66">
        <f t="shared" si="41"/>
        <v>8963.7000000000007</v>
      </c>
    </row>
    <row r="608" spans="1:15" ht="48" x14ac:dyDescent="0.2">
      <c r="A608" s="67" t="s">
        <v>295</v>
      </c>
      <c r="B608" s="61" t="s">
        <v>152</v>
      </c>
      <c r="C608" s="61" t="s">
        <v>149</v>
      </c>
      <c r="D608" s="62" t="s">
        <v>296</v>
      </c>
      <c r="E608" s="71" t="s">
        <v>177</v>
      </c>
      <c r="F608" s="72">
        <v>2121</v>
      </c>
      <c r="G608" s="73" t="s">
        <v>179</v>
      </c>
      <c r="H608" s="74">
        <f>[1]!'@CTA[8-2-1-2-1-2121,F,6,#6]'</f>
        <v>70547</v>
      </c>
      <c r="I608" s="74">
        <f>[1]!'@CTA[8-2-3-2-1-2121,F,6,#6]'</f>
        <v>0</v>
      </c>
      <c r="J608" s="75">
        <f>[1]!'@CTA[8-2-1-2-1-2121,F,6,#6]'+[1]!'@CTA[8-2-3-2-1-2121,F,6,#6]'</f>
        <v>70547</v>
      </c>
      <c r="K608" s="76">
        <f>[1]!'@CTA[8-2-4-2-1-2121,J,6,#6]'</f>
        <v>0</v>
      </c>
      <c r="L608" s="76">
        <f>[1]!'@CTA[8-2-5-2-1-2121,J,6,#6]'</f>
        <v>0</v>
      </c>
      <c r="M608" s="76">
        <f>[1]!'@CTA[8-2-6-2-1-2121,J,6,#6]'</f>
        <v>0</v>
      </c>
      <c r="N608" s="74">
        <f>[1]!'@CTA[8-2-7-2-1-2121,F,6,#6]'</f>
        <v>7.503331289626658E-12</v>
      </c>
      <c r="O608" s="66">
        <f t="shared" si="41"/>
        <v>70547</v>
      </c>
    </row>
    <row r="609" spans="1:15" ht="48" x14ac:dyDescent="0.2">
      <c r="A609" s="67" t="s">
        <v>295</v>
      </c>
      <c r="B609" s="61" t="s">
        <v>152</v>
      </c>
      <c r="C609" s="61" t="s">
        <v>149</v>
      </c>
      <c r="D609" s="62" t="s">
        <v>296</v>
      </c>
      <c r="E609" s="71" t="s">
        <v>177</v>
      </c>
      <c r="F609" s="72">
        <v>2131</v>
      </c>
      <c r="G609" s="73" t="s">
        <v>180</v>
      </c>
      <c r="H609" s="74">
        <f>[1]!'@CTA[8-2-1-2-1-2131,F,6,#6]'</f>
        <v>0</v>
      </c>
      <c r="I609" s="74">
        <f>[1]!'@CTA[8-2-3-2-1-2131,F,6,#6]'</f>
        <v>0</v>
      </c>
      <c r="J609" s="75">
        <f>[1]!'@CTA[8-2-1-2-1-2131,F,6,#6]'+[1]!'@CTA[8-2-3-2-1-2131,F,6,#6]'</f>
        <v>0</v>
      </c>
      <c r="K609" s="76">
        <f>[1]!'@CTA[8-2-4-2-1-2131,J,6,#6]'</f>
        <v>0</v>
      </c>
      <c r="L609" s="76">
        <f>[1]!'@CTA[8-2-5-2-1-2131,J,6,#6]'</f>
        <v>0</v>
      </c>
      <c r="M609" s="76">
        <f>[1]!'@CTA[8-2-6-2-1-2131,J,6,#6]'</f>
        <v>0</v>
      </c>
      <c r="N609" s="74">
        <f>[1]!'@CTA[8-2-7-2-1-2131,F,6,#6]'</f>
        <v>0</v>
      </c>
      <c r="O609" s="66">
        <f t="shared" si="41"/>
        <v>0</v>
      </c>
    </row>
    <row r="610" spans="1:15" ht="48" x14ac:dyDescent="0.2">
      <c r="A610" s="67" t="s">
        <v>295</v>
      </c>
      <c r="B610" s="61" t="s">
        <v>152</v>
      </c>
      <c r="C610" s="61" t="s">
        <v>149</v>
      </c>
      <c r="D610" s="62" t="s">
        <v>296</v>
      </c>
      <c r="E610" s="71" t="s">
        <v>177</v>
      </c>
      <c r="F610" s="72">
        <v>2141</v>
      </c>
      <c r="G610" s="73" t="s">
        <v>181</v>
      </c>
      <c r="H610" s="74">
        <f>[1]!'@CTA[8-2-1-2-1-2141,F,6,#6]'</f>
        <v>91649</v>
      </c>
      <c r="I610" s="74">
        <f>[1]!'@CTA[8-2-3-2-1-2141,F,6,#6]'</f>
        <v>7.2759576141834259E-12</v>
      </c>
      <c r="J610" s="75">
        <f>[1]!'@CTA[8-2-1-2-1-2141,F,6,#6]'+[1]!'@CTA[8-2-3-2-1-2141,F,6,#6]'</f>
        <v>91649</v>
      </c>
      <c r="K610" s="76">
        <f>[1]!'@CTA[8-2-4-2-1-2141,J,6,#6]'</f>
        <v>14629.960000000001</v>
      </c>
      <c r="L610" s="76">
        <f>[1]!'@CTA[8-2-5-2-1-2141,J,6,#6]'</f>
        <v>14629.960000000001</v>
      </c>
      <c r="M610" s="76">
        <f>[1]!'@CTA[8-2-6-2-1-2141,J,6,#6]'</f>
        <v>14629.960000000001</v>
      </c>
      <c r="N610" s="74">
        <f>[1]!'@CTA[8-2-7-2-1-2141,F,6,#6]'</f>
        <v>10850.62999999999</v>
      </c>
      <c r="O610" s="66">
        <f t="shared" si="41"/>
        <v>77019.039999999994</v>
      </c>
    </row>
    <row r="611" spans="1:15" ht="48" x14ac:dyDescent="0.2">
      <c r="A611" s="67" t="s">
        <v>295</v>
      </c>
      <c r="B611" s="61" t="s">
        <v>152</v>
      </c>
      <c r="C611" s="61" t="s">
        <v>149</v>
      </c>
      <c r="D611" s="62" t="s">
        <v>296</v>
      </c>
      <c r="E611" s="71" t="s">
        <v>177</v>
      </c>
      <c r="F611" s="72">
        <v>2151</v>
      </c>
      <c r="G611" s="73" t="s">
        <v>182</v>
      </c>
      <c r="H611" s="74">
        <f>[1]!'@CTA[8-2-1-2-1-2151,F,6,#6]'</f>
        <v>0</v>
      </c>
      <c r="I611" s="74">
        <f>[1]!'@CTA[8-2-3-2-1-2151,F,6,#6]'</f>
        <v>0</v>
      </c>
      <c r="J611" s="75">
        <f>[1]!'@CTA[8-2-1-2-1-2151,F,6,#6]'+[1]!'@CTA[8-2-3-2-1-2151,F,6,#6]'</f>
        <v>0</v>
      </c>
      <c r="K611" s="76">
        <f>[1]!'@CTA[8-2-4-2-1-2151,J,6,#6]'</f>
        <v>0</v>
      </c>
      <c r="L611" s="76">
        <f>[1]!'@CTA[8-2-5-2-1-2151,J,6,#6]'</f>
        <v>0</v>
      </c>
      <c r="M611" s="76">
        <f>[1]!'@CTA[8-2-6-2-1-2151,J,6,#6]'</f>
        <v>0</v>
      </c>
      <c r="N611" s="74">
        <f>[1]!'@CTA[8-2-7-2-1-2151,F,6,#6]'</f>
        <v>0</v>
      </c>
      <c r="O611" s="66">
        <f t="shared" si="41"/>
        <v>0</v>
      </c>
    </row>
    <row r="612" spans="1:15" ht="48" x14ac:dyDescent="0.2">
      <c r="A612" s="67" t="s">
        <v>295</v>
      </c>
      <c r="B612" s="61" t="s">
        <v>152</v>
      </c>
      <c r="C612" s="61" t="s">
        <v>149</v>
      </c>
      <c r="D612" s="62" t="s">
        <v>296</v>
      </c>
      <c r="E612" s="71" t="s">
        <v>177</v>
      </c>
      <c r="F612" s="72">
        <v>2161</v>
      </c>
      <c r="G612" s="73" t="s">
        <v>183</v>
      </c>
      <c r="H612" s="74">
        <f>[1]!'@CTA[8-2-1-2-1-2161,F,6,#6]'</f>
        <v>0</v>
      </c>
      <c r="I612" s="74">
        <f>[1]!'@CTA[8-2-3-2-1-2161,F,6,#6]'</f>
        <v>0</v>
      </c>
      <c r="J612" s="75">
        <f>[1]!'@CTA[8-2-1-2-1-2161,F,6,#6]'+[1]!'@CTA[8-2-3-2-1-2161,F,6,#6]'</f>
        <v>0</v>
      </c>
      <c r="K612" s="76">
        <f>[1]!'@CTA[8-2-4-2-1-2161,J,6,#6]'</f>
        <v>0</v>
      </c>
      <c r="L612" s="76">
        <f>[1]!'@CTA[8-2-5-2-1-2161,J,6,#6]'</f>
        <v>0</v>
      </c>
      <c r="M612" s="76">
        <f>[1]!'@CTA[8-2-6-2-1-2161,J,6,#6]'</f>
        <v>0</v>
      </c>
      <c r="N612" s="74">
        <f>[1]!'@CTA[8-2-7-2-1-2161,F,6,#6]'</f>
        <v>0</v>
      </c>
      <c r="O612" s="66">
        <f t="shared" si="41"/>
        <v>0</v>
      </c>
    </row>
    <row r="613" spans="1:15" ht="48" x14ac:dyDescent="0.2">
      <c r="A613" s="67" t="s">
        <v>295</v>
      </c>
      <c r="B613" s="61" t="s">
        <v>152</v>
      </c>
      <c r="C613" s="61" t="s">
        <v>149</v>
      </c>
      <c r="D613" s="62" t="s">
        <v>296</v>
      </c>
      <c r="E613" s="71" t="s">
        <v>177</v>
      </c>
      <c r="F613" s="72">
        <v>2171</v>
      </c>
      <c r="G613" s="73" t="s">
        <v>184</v>
      </c>
      <c r="H613" s="74">
        <f>[1]!'@CTA[8-2-1-2-1-2171,F,6,#6]'</f>
        <v>0</v>
      </c>
      <c r="I613" s="74">
        <f>[1]!'@CTA[8-2-3-2-1-2171,F,6,#6]'</f>
        <v>0</v>
      </c>
      <c r="J613" s="75">
        <f>[1]!'@CTA[8-2-1-2-1-2171,F,6,#6]'+[1]!'@CTA[8-2-3-2-1-2171,F,6,#6]'</f>
        <v>0</v>
      </c>
      <c r="K613" s="76">
        <f>[1]!'@CTA[8-2-4-2-1-2171,J,6,#6]'</f>
        <v>0</v>
      </c>
      <c r="L613" s="76">
        <f>[1]!'@CTA[8-2-5-2-1-2171,J,6,#6]'</f>
        <v>0</v>
      </c>
      <c r="M613" s="76">
        <f>[1]!'@CTA[8-2-6-2-1-2171,J,6,#6]'</f>
        <v>0</v>
      </c>
      <c r="N613" s="74">
        <f>[1]!'@CTA[8-2-7-2-1-2171,F,6,#6]'</f>
        <v>0</v>
      </c>
      <c r="O613" s="66">
        <f t="shared" si="41"/>
        <v>0</v>
      </c>
    </row>
    <row r="614" spans="1:15" ht="48" x14ac:dyDescent="0.2">
      <c r="A614" s="67" t="s">
        <v>295</v>
      </c>
      <c r="B614" s="61" t="s">
        <v>152</v>
      </c>
      <c r="C614" s="61" t="s">
        <v>149</v>
      </c>
      <c r="D614" s="62" t="s">
        <v>296</v>
      </c>
      <c r="E614" s="71" t="s">
        <v>177</v>
      </c>
      <c r="F614" s="72">
        <v>2211</v>
      </c>
      <c r="G614" s="73" t="s">
        <v>185</v>
      </c>
      <c r="H614" s="74">
        <f>[1]!'@CTA[8-2-1-2-2-2211,F,6,#6]'</f>
        <v>0</v>
      </c>
      <c r="I614" s="74">
        <f>[1]!'@CTA[8-2-3-2-2-2211,F,6,#6]'</f>
        <v>0</v>
      </c>
      <c r="J614" s="75">
        <f>[1]!'@CTA[8-2-1-2-2-2211,F,6,#6]'+[1]!'@CTA[8-2-3-2-2-2211,F,6,#6]'</f>
        <v>0</v>
      </c>
      <c r="K614" s="76">
        <f>[1]!'@CTA[8-2-4-2-2-2211,J,6,#6]'</f>
        <v>0</v>
      </c>
      <c r="L614" s="76">
        <f>[1]!'@CTA[8-2-5-2-2-2211,J,6,#6]'</f>
        <v>0</v>
      </c>
      <c r="M614" s="76">
        <f>[1]!'@CTA[8-2-6-2-2-2211,J,6,#6]'</f>
        <v>0</v>
      </c>
      <c r="N614" s="74">
        <f>[1]!'@CTA[8-2-7-2-2-2211,F,6,#6]'</f>
        <v>7.1054273576010019E-15</v>
      </c>
      <c r="O614" s="66">
        <f t="shared" si="41"/>
        <v>0</v>
      </c>
    </row>
    <row r="615" spans="1:15" ht="48" x14ac:dyDescent="0.2">
      <c r="A615" s="67" t="s">
        <v>295</v>
      </c>
      <c r="B615" s="61" t="s">
        <v>152</v>
      </c>
      <c r="C615" s="61" t="s">
        <v>149</v>
      </c>
      <c r="D615" s="62" t="s">
        <v>296</v>
      </c>
      <c r="E615" s="71" t="s">
        <v>177</v>
      </c>
      <c r="F615" s="72">
        <v>2231</v>
      </c>
      <c r="G615" s="73" t="s">
        <v>186</v>
      </c>
      <c r="H615" s="74">
        <f>[1]!'@CTA[8-2-1-2-2-2231,F,6,#6]'</f>
        <v>1008</v>
      </c>
      <c r="I615" s="74">
        <f>[1]!'@CTA[8-2-3-2-2-2231,F,6,#6]'</f>
        <v>0</v>
      </c>
      <c r="J615" s="75">
        <f>[1]!'@CTA[8-2-1-2-2-2231,F,6,#6]'+[1]!'@CTA[8-2-3-2-2-2231,F,6,#6]'</f>
        <v>1008</v>
      </c>
      <c r="K615" s="76">
        <f>[1]!'@CTA[8-2-4-2-2-2231,J,6,#6]'</f>
        <v>386.15999999999997</v>
      </c>
      <c r="L615" s="76">
        <f>[1]!'@CTA[8-2-5-2-2-2231,J,6,#6]'</f>
        <v>386.15999999999997</v>
      </c>
      <c r="M615" s="76">
        <f>[1]!'@CTA[8-2-6-2-2-2231,J,6,#6]'</f>
        <v>386.15999999999997</v>
      </c>
      <c r="N615" s="74">
        <f>[1]!'@CTA[8-2-7-2-2-2231,F,6,#6]'</f>
        <v>326.93999999999977</v>
      </c>
      <c r="O615" s="66">
        <f t="shared" si="41"/>
        <v>621.84</v>
      </c>
    </row>
    <row r="616" spans="1:15" ht="48" x14ac:dyDescent="0.2">
      <c r="A616" s="67" t="s">
        <v>295</v>
      </c>
      <c r="B616" s="61" t="s">
        <v>152</v>
      </c>
      <c r="C616" s="61" t="s">
        <v>149</v>
      </c>
      <c r="D616" s="62" t="s">
        <v>296</v>
      </c>
      <c r="E616" s="71" t="s">
        <v>177</v>
      </c>
      <c r="F616" s="72">
        <v>2411</v>
      </c>
      <c r="G616" s="73" t="s">
        <v>187</v>
      </c>
      <c r="H616" s="74">
        <f>[1]!'@CTA[8-2-1-2-4-2411,F,6,#6]'</f>
        <v>0</v>
      </c>
      <c r="I616" s="74">
        <f>[1]!'@CTA[8-2-3-2-4-2411,F,6,#6]'</f>
        <v>0</v>
      </c>
      <c r="J616" s="75">
        <f>[1]!'@CTA[8-2-1-2-4-2411,F,6,#6]'+[1]!'@CTA[8-2-3-2-4-2411,F,6,#6]'</f>
        <v>0</v>
      </c>
      <c r="K616" s="76">
        <f>[1]!'@CTA[8-2-4-2-4-2411,J,6,#6]'</f>
        <v>0</v>
      </c>
      <c r="L616" s="76">
        <f>[1]!'@CTA[8-2-5-2-4-2411,J,6,#6]'</f>
        <v>0</v>
      </c>
      <c r="M616" s="76">
        <f>[1]!'@CTA[8-2-6-2-4-2411,J,6,#6]'</f>
        <v>0</v>
      </c>
      <c r="N616" s="74">
        <f>[1]!'@CTA[8-2-7-2-4-2411,F,6,#6]'</f>
        <v>0</v>
      </c>
      <c r="O616" s="66">
        <f t="shared" si="41"/>
        <v>0</v>
      </c>
    </row>
    <row r="617" spans="1:15" ht="48" x14ac:dyDescent="0.2">
      <c r="A617" s="67" t="s">
        <v>295</v>
      </c>
      <c r="B617" s="61" t="s">
        <v>152</v>
      </c>
      <c r="C617" s="61" t="s">
        <v>149</v>
      </c>
      <c r="D617" s="62" t="s">
        <v>296</v>
      </c>
      <c r="E617" s="71" t="s">
        <v>177</v>
      </c>
      <c r="F617" s="72">
        <v>2461</v>
      </c>
      <c r="G617" s="73" t="s">
        <v>188</v>
      </c>
      <c r="H617" s="74">
        <f>[1]!'@CTA[8-2-1-2-4-2461,F,6,#6]'</f>
        <v>2860</v>
      </c>
      <c r="I617" s="74">
        <f>[1]!'@CTA[8-2-3-2-4-2461,F,6,#6]'</f>
        <v>1.4779288903810084E-12</v>
      </c>
      <c r="J617" s="75">
        <f>[1]!'@CTA[8-2-1-2-4-2461,F,6,#6]'+[1]!'@CTA[8-2-3-2-4-2461,F,6,#6]'</f>
        <v>2860.0000000000014</v>
      </c>
      <c r="K617" s="76">
        <f>[1]!'@CTA[8-2-4-2-4-2461,J,6,#6]'</f>
        <v>0</v>
      </c>
      <c r="L617" s="76">
        <f>[1]!'@CTA[8-2-5-2-4-2461,J,6,#6]'</f>
        <v>0</v>
      </c>
      <c r="M617" s="76">
        <f>[1]!'@CTA[8-2-6-2-4-2461,J,6,#6]'</f>
        <v>0</v>
      </c>
      <c r="N617" s="74">
        <f>[1]!'@CTA[8-2-7-2-4-2461,F,6,#6]'</f>
        <v>-4.5474735088646412E-12</v>
      </c>
      <c r="O617" s="66">
        <f t="shared" si="41"/>
        <v>2860.0000000000014</v>
      </c>
    </row>
    <row r="618" spans="1:15" ht="48" x14ac:dyDescent="0.2">
      <c r="A618" s="67" t="s">
        <v>295</v>
      </c>
      <c r="B618" s="61" t="s">
        <v>152</v>
      </c>
      <c r="C618" s="61" t="s">
        <v>149</v>
      </c>
      <c r="D618" s="62" t="s">
        <v>296</v>
      </c>
      <c r="E618" s="71" t="s">
        <v>177</v>
      </c>
      <c r="F618" s="72">
        <v>2471</v>
      </c>
      <c r="G618" s="73" t="s">
        <v>189</v>
      </c>
      <c r="H618" s="74">
        <f>[1]!'@CTA[8-2-1-2-4-2471,F,6,#6]'</f>
        <v>0</v>
      </c>
      <c r="I618" s="74">
        <f>[1]!'@CTA[8-2-3-2-4-2471,F,6,#6]'</f>
        <v>0</v>
      </c>
      <c r="J618" s="75">
        <f>[1]!'@CTA[8-2-1-2-4-2471,F,6,#6]'+[1]!'@CTA[8-2-3-2-4-2471,F,6,#6]'</f>
        <v>0</v>
      </c>
      <c r="K618" s="76">
        <f>[1]!'@CTA[8-2-4-2-4-2471,J,6,#6]'</f>
        <v>0</v>
      </c>
      <c r="L618" s="76">
        <f>[1]!'@CTA[8-2-5-2-4-2471,J,6,#6]'</f>
        <v>0</v>
      </c>
      <c r="M618" s="76">
        <f>[1]!'@CTA[8-2-6-2-4-2471,J,6,#6]'</f>
        <v>0</v>
      </c>
      <c r="N618" s="74">
        <f>[1]!'@CTA[8-2-7-2-4-2471,F,6,#6]'</f>
        <v>0</v>
      </c>
      <c r="O618" s="66">
        <f t="shared" si="41"/>
        <v>0</v>
      </c>
    </row>
    <row r="619" spans="1:15" ht="48" x14ac:dyDescent="0.2">
      <c r="A619" s="67" t="s">
        <v>295</v>
      </c>
      <c r="B619" s="61" t="s">
        <v>152</v>
      </c>
      <c r="C619" s="61" t="s">
        <v>149</v>
      </c>
      <c r="D619" s="62" t="s">
        <v>296</v>
      </c>
      <c r="E619" s="71" t="s">
        <v>177</v>
      </c>
      <c r="F619" s="72">
        <v>2481</v>
      </c>
      <c r="G619" s="73" t="s">
        <v>190</v>
      </c>
      <c r="H619" s="74">
        <f>[1]!'@CTA[8-2-1-2-4-2481,F,6,#6]'</f>
        <v>0</v>
      </c>
      <c r="I619" s="74">
        <f>[1]!'@CTA[8-2-3-2-4-2481,F,6,#6]'</f>
        <v>0</v>
      </c>
      <c r="J619" s="75">
        <f>[1]!'@CTA[8-2-1-2-4-2481,F,6,#6]'+[1]!'@CTA[8-2-3-2-4-2481,F,6,#6]'</f>
        <v>0</v>
      </c>
      <c r="K619" s="76">
        <f>[1]!'@CTA[8-2-4-2-4-2481,J,6,#6]'</f>
        <v>0</v>
      </c>
      <c r="L619" s="76">
        <f>[1]!'@CTA[8-2-5-2-4-2481,J,6,#6]'</f>
        <v>0</v>
      </c>
      <c r="M619" s="76">
        <f>[1]!'@CTA[8-2-6-2-4-2481,J,6,#6]'</f>
        <v>0</v>
      </c>
      <c r="N619" s="74">
        <f>[1]!'@CTA[8-2-7-2-4-2481,F,6,#6]'</f>
        <v>0</v>
      </c>
      <c r="O619" s="66">
        <f t="shared" si="41"/>
        <v>0</v>
      </c>
    </row>
    <row r="620" spans="1:15" ht="48" x14ac:dyDescent="0.2">
      <c r="A620" s="67" t="s">
        <v>295</v>
      </c>
      <c r="B620" s="61" t="s">
        <v>152</v>
      </c>
      <c r="C620" s="61" t="s">
        <v>149</v>
      </c>
      <c r="D620" s="62" t="s">
        <v>296</v>
      </c>
      <c r="E620" s="71" t="s">
        <v>177</v>
      </c>
      <c r="F620" s="72">
        <v>2491</v>
      </c>
      <c r="G620" s="73" t="s">
        <v>191</v>
      </c>
      <c r="H620" s="74">
        <f>[1]!'@CTA[8-2-1-2-4-2491,F,6,#6]'</f>
        <v>0</v>
      </c>
      <c r="I620" s="74">
        <f>[1]!'@CTA[8-2-3-2-4-2491,F,6,#6]'</f>
        <v>0</v>
      </c>
      <c r="J620" s="75">
        <f>[1]!'@CTA[8-2-1-2-4-2491,F,6,#6]'+[1]!'@CTA[8-2-3-2-4-2491,F,6,#6]'</f>
        <v>0</v>
      </c>
      <c r="K620" s="76">
        <f>[1]!'@CTA[8-2-4-2-4-2491,J,6,#6]'</f>
        <v>0</v>
      </c>
      <c r="L620" s="76">
        <f>[1]!'@CTA[8-2-5-2-4-2491,J,6,#6]'</f>
        <v>0</v>
      </c>
      <c r="M620" s="76">
        <f>[1]!'@CTA[8-2-6-2-4-2491,J,6,#6]'</f>
        <v>0</v>
      </c>
      <c r="N620" s="74">
        <f>[1]!'@CTA[8-2-7-2-4-2491,F,6,#6]'</f>
        <v>0</v>
      </c>
      <c r="O620" s="66">
        <f t="shared" si="41"/>
        <v>0</v>
      </c>
    </row>
    <row r="621" spans="1:15" ht="48" x14ac:dyDescent="0.2">
      <c r="A621" s="67" t="s">
        <v>295</v>
      </c>
      <c r="B621" s="61" t="s">
        <v>152</v>
      </c>
      <c r="C621" s="61" t="s">
        <v>149</v>
      </c>
      <c r="D621" s="62" t="s">
        <v>296</v>
      </c>
      <c r="E621" s="71" t="s">
        <v>177</v>
      </c>
      <c r="F621" s="72">
        <v>2492</v>
      </c>
      <c r="G621" s="73" t="s">
        <v>192</v>
      </c>
      <c r="H621" s="74">
        <f>[1]!'@CTA[8-2-1-2-4-2492,F,6,#6]'</f>
        <v>0</v>
      </c>
      <c r="I621" s="74">
        <f>[1]!'@CTA[8-2-3-2-4-2492,F,6,#6]'</f>
        <v>0</v>
      </c>
      <c r="J621" s="75">
        <f>[1]!'@CTA[8-2-1-2-4-2492,F,6,#6]'+[1]!'@CTA[8-2-3-2-4-2492,F,6,#6]'</f>
        <v>0</v>
      </c>
      <c r="K621" s="76">
        <f>[1]!'@CTA[8-2-4-2-4-2492,J,6,#6]'</f>
        <v>0</v>
      </c>
      <c r="L621" s="76">
        <f>[1]!'@CTA[8-2-5-2-4-2492,J,6,#6]'</f>
        <v>0</v>
      </c>
      <c r="M621" s="76">
        <f>[1]!'@CTA[8-2-6-2-4-2492,J,6,#6]'</f>
        <v>0</v>
      </c>
      <c r="N621" s="74">
        <f>[1]!'@CTA[8-2-7-2-4-2492,F,6,#6]'</f>
        <v>0</v>
      </c>
      <c r="O621" s="66">
        <f t="shared" si="41"/>
        <v>0</v>
      </c>
    </row>
    <row r="622" spans="1:15" ht="48" x14ac:dyDescent="0.2">
      <c r="A622" s="67" t="s">
        <v>295</v>
      </c>
      <c r="B622" s="61" t="s">
        <v>152</v>
      </c>
      <c r="C622" s="61" t="s">
        <v>149</v>
      </c>
      <c r="D622" s="62" t="s">
        <v>296</v>
      </c>
      <c r="E622" s="71" t="s">
        <v>177</v>
      </c>
      <c r="F622" s="72">
        <v>2531</v>
      </c>
      <c r="G622" s="73" t="s">
        <v>193</v>
      </c>
      <c r="H622" s="74">
        <f>[1]!'@CTA[8-2-1-2-5-2531,F,6,#6]'</f>
        <v>0</v>
      </c>
      <c r="I622" s="74">
        <f>[1]!'@CTA[8-2-3-2-5-2531,F,6,#6]'</f>
        <v>0</v>
      </c>
      <c r="J622" s="75">
        <f>[1]!'@CTA[8-2-1-2-5-2531,F,6,#6]'+[1]!'@CTA[8-2-3-2-5-2531,F,6,#6]'</f>
        <v>0</v>
      </c>
      <c r="K622" s="76">
        <f>[1]!'@CTA[8-2-4-2-5-2531,J,6,#6]'</f>
        <v>0</v>
      </c>
      <c r="L622" s="76">
        <f>[1]!'@CTA[8-2-5-2-5-2531,J,6,#6]'</f>
        <v>0</v>
      </c>
      <c r="M622" s="76">
        <f>[1]!'@CTA[8-2-6-2-5-2531,J,6,#6]'</f>
        <v>0</v>
      </c>
      <c r="N622" s="74">
        <f>[1]!'@CTA[8-2-7-2-5-2531,F,6,#6]'</f>
        <v>0</v>
      </c>
      <c r="O622" s="66">
        <f t="shared" si="41"/>
        <v>0</v>
      </c>
    </row>
    <row r="623" spans="1:15" ht="48" x14ac:dyDescent="0.2">
      <c r="A623" s="67" t="s">
        <v>295</v>
      </c>
      <c r="B623" s="61" t="s">
        <v>152</v>
      </c>
      <c r="C623" s="61" t="s">
        <v>149</v>
      </c>
      <c r="D623" s="62" t="s">
        <v>296</v>
      </c>
      <c r="E623" s="71" t="s">
        <v>177</v>
      </c>
      <c r="F623" s="72">
        <v>2551</v>
      </c>
      <c r="G623" s="73" t="s">
        <v>194</v>
      </c>
      <c r="H623" s="74">
        <f>[1]!'@CTA[8-2-1-2-5-2551,F,6,#6]'</f>
        <v>0</v>
      </c>
      <c r="I623" s="74">
        <f>[1]!'@CTA[8-2-3-2-5-2551,F,6,#6]'</f>
        <v>0</v>
      </c>
      <c r="J623" s="75">
        <f>[1]!'@CTA[8-2-1-2-5-2551,F,6,#6]'+[1]!'@CTA[8-2-3-2-5-2551,F,6,#6]'</f>
        <v>0</v>
      </c>
      <c r="K623" s="76">
        <f>[1]!'@CTA[8-2-4-2-5-2551,J,6,#6]'</f>
        <v>0</v>
      </c>
      <c r="L623" s="76">
        <f>[1]!'@CTA[8-2-5-2-5-2551,J,6,#6]'</f>
        <v>0</v>
      </c>
      <c r="M623" s="76">
        <f>[1]!'@CTA[8-2-6-2-5-2551,J,6,#6]'</f>
        <v>0</v>
      </c>
      <c r="N623" s="74">
        <f>[1]!'@CTA[8-2-7-2-5-2551,F,6,#6]'</f>
        <v>0</v>
      </c>
      <c r="O623" s="66">
        <f t="shared" si="41"/>
        <v>0</v>
      </c>
    </row>
    <row r="624" spans="1:15" ht="48" x14ac:dyDescent="0.2">
      <c r="A624" s="67" t="s">
        <v>295</v>
      </c>
      <c r="B624" s="61" t="s">
        <v>152</v>
      </c>
      <c r="C624" s="61" t="s">
        <v>149</v>
      </c>
      <c r="D624" s="62" t="s">
        <v>296</v>
      </c>
      <c r="E624" s="71" t="s">
        <v>177</v>
      </c>
      <c r="F624" s="72">
        <v>2591</v>
      </c>
      <c r="G624" s="73" t="s">
        <v>195</v>
      </c>
      <c r="H624" s="74">
        <f>[1]!'@CTA[8-2-1-2-5-2591,F,6,#6]'</f>
        <v>852</v>
      </c>
      <c r="I624" s="74">
        <f>[1]!'@CTA[8-2-3-2-5-2591,F,6,#6]'</f>
        <v>0</v>
      </c>
      <c r="J624" s="75">
        <f>[1]!'@CTA[8-2-1-2-5-2591,F,6,#6]'+[1]!'@CTA[8-2-3-2-5-2591,F,6,#6]'</f>
        <v>852</v>
      </c>
      <c r="K624" s="76">
        <f>[1]!'@CTA[8-2-4-2-5-2591,J,6,#6]'</f>
        <v>26.94</v>
      </c>
      <c r="L624" s="76">
        <f>[1]!'@CTA[8-2-5-2-5-2591,J,6,#6]'</f>
        <v>26.94</v>
      </c>
      <c r="M624" s="76">
        <f>[1]!'@CTA[8-2-6-2-5-2591,J,6,#6]'</f>
        <v>26.94</v>
      </c>
      <c r="N624" s="74">
        <f>[1]!'@CTA[8-2-7-2-5-2591,F,6,#6]'</f>
        <v>0</v>
      </c>
      <c r="O624" s="66">
        <f t="shared" si="41"/>
        <v>825.06</v>
      </c>
    </row>
    <row r="625" spans="1:15" ht="48" x14ac:dyDescent="0.2">
      <c r="A625" s="67" t="s">
        <v>295</v>
      </c>
      <c r="B625" s="61" t="s">
        <v>152</v>
      </c>
      <c r="C625" s="61" t="s">
        <v>149</v>
      </c>
      <c r="D625" s="62" t="s">
        <v>296</v>
      </c>
      <c r="E625" s="71" t="s">
        <v>177</v>
      </c>
      <c r="F625" s="72">
        <v>2611</v>
      </c>
      <c r="G625" s="73" t="s">
        <v>196</v>
      </c>
      <c r="H625" s="74">
        <f>[1]!'@CTA[8-2-1-2-6-2611,F,6,#6]'</f>
        <v>0</v>
      </c>
      <c r="I625" s="74">
        <f>[1]!'@CTA[8-2-3-2-6-2611,F,6,#6]'</f>
        <v>0</v>
      </c>
      <c r="J625" s="75">
        <f>[1]!'@CTA[8-2-1-2-6-2611,F,6,#6]'+[1]!'@CTA[8-2-3-2-6-2611,F,6,#6]'</f>
        <v>0</v>
      </c>
      <c r="K625" s="76">
        <f>[1]!'@CTA[8-2-4-2-6-2611,J,6,#6]'</f>
        <v>0</v>
      </c>
      <c r="L625" s="76">
        <f>[1]!'@CTA[8-2-5-2-6-2611,J,6,#6]'</f>
        <v>0</v>
      </c>
      <c r="M625" s="76">
        <f>[1]!'@CTA[8-2-6-2-6-2611,J,6,#6]'</f>
        <v>0</v>
      </c>
      <c r="N625" s="74">
        <f>[1]!'@CTA[8-2-7-2-6-2611,F,6,#6]'</f>
        <v>0</v>
      </c>
      <c r="O625" s="66">
        <f t="shared" si="41"/>
        <v>0</v>
      </c>
    </row>
    <row r="626" spans="1:15" ht="48" x14ac:dyDescent="0.2">
      <c r="A626" s="67" t="s">
        <v>295</v>
      </c>
      <c r="B626" s="61" t="s">
        <v>152</v>
      </c>
      <c r="C626" s="61" t="s">
        <v>149</v>
      </c>
      <c r="D626" s="62" t="s">
        <v>296</v>
      </c>
      <c r="E626" s="71" t="s">
        <v>177</v>
      </c>
      <c r="F626" s="72">
        <v>2612</v>
      </c>
      <c r="G626" s="73" t="s">
        <v>197</v>
      </c>
      <c r="H626" s="74">
        <f>[1]!'@CTA[8-2-1-2-6-2612,F,6,#6]'</f>
        <v>0</v>
      </c>
      <c r="I626" s="74">
        <f>[1]!'@CTA[8-2-3-2-6-2612,F,6,#6]'</f>
        <v>0</v>
      </c>
      <c r="J626" s="75">
        <f>[1]!'@CTA[8-2-1-2-6-2612,F,6,#6]'+[1]!'@CTA[8-2-3-2-6-2612,F,6,#6]'</f>
        <v>0</v>
      </c>
      <c r="K626" s="76">
        <f>[1]!'@CTA[8-2-4-2-6-2612,J,6,#6]'</f>
        <v>0</v>
      </c>
      <c r="L626" s="76">
        <f>[1]!'@CTA[8-2-5-2-6-2612,J,6,#6]'</f>
        <v>0</v>
      </c>
      <c r="M626" s="76">
        <f>[1]!'@CTA[8-2-6-2-6-2612,J,6,#6]'</f>
        <v>0</v>
      </c>
      <c r="N626" s="74">
        <f>[1]!'@CTA[8-2-7-2-6-2612,F,6,#6]'</f>
        <v>0</v>
      </c>
      <c r="O626" s="66">
        <f t="shared" si="41"/>
        <v>0</v>
      </c>
    </row>
    <row r="627" spans="1:15" ht="48" x14ac:dyDescent="0.2">
      <c r="A627" s="67" t="s">
        <v>295</v>
      </c>
      <c r="B627" s="61" t="s">
        <v>152</v>
      </c>
      <c r="C627" s="61" t="s">
        <v>149</v>
      </c>
      <c r="D627" s="62" t="s">
        <v>296</v>
      </c>
      <c r="E627" s="71" t="s">
        <v>177</v>
      </c>
      <c r="F627" s="72">
        <v>2711</v>
      </c>
      <c r="G627" s="73" t="s">
        <v>198</v>
      </c>
      <c r="H627" s="74">
        <f>[1]!'@CTA[8-2-1-2-7-2711,F,6,#6]'</f>
        <v>2400</v>
      </c>
      <c r="I627" s="74">
        <f>[1]!'@CTA[8-2-3-2-7-2711,F,6,#6]'</f>
        <v>0</v>
      </c>
      <c r="J627" s="75">
        <f>[1]!'@CTA[8-2-1-2-7-2711,F,6,#6]'+[1]!'@CTA[8-2-3-2-7-2711,F,6,#6]'</f>
        <v>2400</v>
      </c>
      <c r="K627" s="76">
        <f>[1]!'@CTA[8-2-4-2-7-2711,J,6,#6]'</f>
        <v>1712.04</v>
      </c>
      <c r="L627" s="76">
        <f>[1]!'@CTA[8-2-5-2-7-2711,J,6,#6]'</f>
        <v>1712.04</v>
      </c>
      <c r="M627" s="76">
        <f>[1]!'@CTA[8-2-6-2-7-2711,J,6,#6]'</f>
        <v>1712.04</v>
      </c>
      <c r="N627" s="74">
        <f>[1]!'@CTA[8-2-7-2-7-2711,F,6,#6]'</f>
        <v>1712.04</v>
      </c>
      <c r="O627" s="66">
        <f t="shared" si="41"/>
        <v>687.96</v>
      </c>
    </row>
    <row r="628" spans="1:15" ht="48" x14ac:dyDescent="0.2">
      <c r="A628" s="67" t="s">
        <v>295</v>
      </c>
      <c r="B628" s="61" t="s">
        <v>152</v>
      </c>
      <c r="C628" s="61" t="s">
        <v>149</v>
      </c>
      <c r="D628" s="62" t="s">
        <v>296</v>
      </c>
      <c r="E628" s="71" t="s">
        <v>177</v>
      </c>
      <c r="F628" s="72">
        <v>2712</v>
      </c>
      <c r="G628" s="73" t="s">
        <v>199</v>
      </c>
      <c r="H628" s="74">
        <f>[1]!'@CTA[8-2-1-2-7-2712,F,6,#6]'</f>
        <v>0</v>
      </c>
      <c r="I628" s="74">
        <f>[1]!'@CTA[8-2-3-2-7-2712,F,6,#6]'</f>
        <v>0</v>
      </c>
      <c r="J628" s="75">
        <f>[1]!'@CTA[8-2-1-2-7-2712,F,6,#6]'+[1]!'@CTA[8-2-3-2-7-2712,F,6,#6]'</f>
        <v>0</v>
      </c>
      <c r="K628" s="76">
        <f>[1]!'@CTA[8-2-4-2-7-2712,J,6,#6]'</f>
        <v>0</v>
      </c>
      <c r="L628" s="76">
        <f>[1]!'@CTA[8-2-5-2-7-2712,J,6,#6]'</f>
        <v>0</v>
      </c>
      <c r="M628" s="76">
        <f>[1]!'@CTA[8-2-6-2-7-2712,J,6,#6]'</f>
        <v>0</v>
      </c>
      <c r="N628" s="74">
        <f>[1]!'@CTA[8-2-7-2-7-2712,F,6,#6]'</f>
        <v>0</v>
      </c>
      <c r="O628" s="66">
        <f t="shared" si="41"/>
        <v>0</v>
      </c>
    </row>
    <row r="629" spans="1:15" ht="48" x14ac:dyDescent="0.2">
      <c r="A629" s="67" t="s">
        <v>295</v>
      </c>
      <c r="B629" s="61" t="s">
        <v>152</v>
      </c>
      <c r="C629" s="61" t="s">
        <v>149</v>
      </c>
      <c r="D629" s="62" t="s">
        <v>296</v>
      </c>
      <c r="E629" s="71" t="s">
        <v>177</v>
      </c>
      <c r="F629" s="72">
        <v>2721</v>
      </c>
      <c r="G629" s="73" t="s">
        <v>200</v>
      </c>
      <c r="H629" s="74">
        <f>[1]!'@CTA[8-2-1-2-7-2721,F,6,#6]'</f>
        <v>0</v>
      </c>
      <c r="I629" s="74">
        <f>[1]!'@CTA[8-2-3-2-7-2721,F,6,#6]'</f>
        <v>0</v>
      </c>
      <c r="J629" s="75">
        <f>[1]!'@CTA[8-2-1-2-7-2721,F,6,#6]'+[1]!'@CTA[8-2-3-2-7-2721,F,6,#6]'</f>
        <v>0</v>
      </c>
      <c r="K629" s="76">
        <f>[1]!'@CTA[8-2-4-2-7-2721,J,6,#6]'</f>
        <v>0</v>
      </c>
      <c r="L629" s="76">
        <f>[1]!'@CTA[8-2-5-2-7-2721,J,6,#6]'</f>
        <v>0</v>
      </c>
      <c r="M629" s="76">
        <f>[1]!'@CTA[8-2-6-2-7-2721,J,6,#6]'</f>
        <v>0</v>
      </c>
      <c r="N629" s="74">
        <f>[1]!'@CTA[8-2-7-2-7-2721,F,6,#6]'</f>
        <v>0</v>
      </c>
      <c r="O629" s="66">
        <f t="shared" si="41"/>
        <v>0</v>
      </c>
    </row>
    <row r="630" spans="1:15" ht="48" x14ac:dyDescent="0.2">
      <c r="A630" s="67" t="s">
        <v>295</v>
      </c>
      <c r="B630" s="61" t="s">
        <v>152</v>
      </c>
      <c r="C630" s="61" t="s">
        <v>149</v>
      </c>
      <c r="D630" s="62" t="s">
        <v>296</v>
      </c>
      <c r="E630" s="71" t="s">
        <v>177</v>
      </c>
      <c r="F630" s="72">
        <v>2731</v>
      </c>
      <c r="G630" s="73" t="s">
        <v>201</v>
      </c>
      <c r="H630" s="74">
        <f>[1]!'@CTA[8-2-1-2-7-2731,F,6,#6]'</f>
        <v>0</v>
      </c>
      <c r="I630" s="74">
        <f>[1]!'@CTA[8-2-3-2-7-2731,F,6,#6]'</f>
        <v>0</v>
      </c>
      <c r="J630" s="75">
        <f>[1]!'@CTA[8-2-1-2-7-2731,F,6,#6]'+[1]!'@CTA[8-2-3-2-7-2731,F,6,#6]'</f>
        <v>0</v>
      </c>
      <c r="K630" s="76">
        <f>[1]!'@CTA[8-2-4-2-7-2731,J,6,#6]'</f>
        <v>0</v>
      </c>
      <c r="L630" s="76">
        <f>[1]!'@CTA[8-2-5-2-7-2731,J,6,#6]'</f>
        <v>0</v>
      </c>
      <c r="M630" s="76">
        <f>[1]!'@CTA[8-2-6-2-7-2731,J,6,#6]'</f>
        <v>0</v>
      </c>
      <c r="N630" s="74">
        <f>[1]!'@CTA[8-2-7-2-7-2731,F,6,#6]'</f>
        <v>0</v>
      </c>
      <c r="O630" s="66">
        <f t="shared" si="41"/>
        <v>0</v>
      </c>
    </row>
    <row r="631" spans="1:15" ht="48" x14ac:dyDescent="0.2">
      <c r="A631" s="67" t="s">
        <v>295</v>
      </c>
      <c r="B631" s="61" t="s">
        <v>152</v>
      </c>
      <c r="C631" s="61" t="s">
        <v>149</v>
      </c>
      <c r="D631" s="62" t="s">
        <v>296</v>
      </c>
      <c r="E631" s="71" t="s">
        <v>177</v>
      </c>
      <c r="F631" s="72">
        <v>2911</v>
      </c>
      <c r="G631" s="73" t="s">
        <v>202</v>
      </c>
      <c r="H631" s="74">
        <f>[1]!'@CTA[8-2-1-2-9-2911,F,6,#6]'</f>
        <v>15158</v>
      </c>
      <c r="I631" s="74">
        <f>[1]!'@CTA[8-2-3-2-9-2911,F,6,#6]'</f>
        <v>0</v>
      </c>
      <c r="J631" s="75">
        <f>[1]!'@CTA[8-2-1-2-9-2911,F,6,#6]'+[1]!'@CTA[8-2-3-2-9-2911,F,6,#6]'</f>
        <v>15158</v>
      </c>
      <c r="K631" s="76">
        <f>[1]!'@CTA[8-2-4-2-9-2911,J,6,#6]'</f>
        <v>719.99</v>
      </c>
      <c r="L631" s="76">
        <f>[1]!'@CTA[8-2-5-2-9-2911,J,6,#6]'</f>
        <v>719.99</v>
      </c>
      <c r="M631" s="76">
        <f>[1]!'@CTA[8-2-6-2-9-2911,J,6,#6]'</f>
        <v>719.99</v>
      </c>
      <c r="N631" s="74">
        <f>[1]!'@CTA[8-2-7-2-9-2911,F,6,#6]'</f>
        <v>719.99</v>
      </c>
      <c r="O631" s="66">
        <f t="shared" si="41"/>
        <v>14438.01</v>
      </c>
    </row>
    <row r="632" spans="1:15" ht="48" x14ac:dyDescent="0.2">
      <c r="A632" s="67" t="s">
        <v>295</v>
      </c>
      <c r="B632" s="61"/>
      <c r="C632" s="61" t="s">
        <v>149</v>
      </c>
      <c r="D632" s="62" t="s">
        <v>296</v>
      </c>
      <c r="E632" s="61"/>
      <c r="F632" s="63">
        <v>3000</v>
      </c>
      <c r="G632" s="77" t="s">
        <v>203</v>
      </c>
      <c r="H632" s="69">
        <f t="shared" ref="H632:N632" si="45">SUBTOTAL(9,H633:H682)</f>
        <v>24543</v>
      </c>
      <c r="I632" s="69">
        <f t="shared" si="45"/>
        <v>1342.15</v>
      </c>
      <c r="J632" s="69">
        <f t="shared" si="45"/>
        <v>25885.15</v>
      </c>
      <c r="K632" s="70">
        <f t="shared" si="45"/>
        <v>5780.0599999999995</v>
      </c>
      <c r="L632" s="70">
        <f t="shared" si="45"/>
        <v>5780.0599999999995</v>
      </c>
      <c r="M632" s="70">
        <f t="shared" si="45"/>
        <v>5780.0599999999995</v>
      </c>
      <c r="N632" s="69">
        <f t="shared" si="45"/>
        <v>5049.4199999999983</v>
      </c>
      <c r="O632" s="66">
        <f t="shared" si="41"/>
        <v>20105.090000000004</v>
      </c>
    </row>
    <row r="633" spans="1:15" ht="48" x14ac:dyDescent="0.2">
      <c r="A633" s="67" t="s">
        <v>295</v>
      </c>
      <c r="B633" s="61" t="s">
        <v>152</v>
      </c>
      <c r="C633" s="61" t="s">
        <v>149</v>
      </c>
      <c r="D633" s="62" t="s">
        <v>296</v>
      </c>
      <c r="E633" s="71" t="s">
        <v>177</v>
      </c>
      <c r="F633" s="72">
        <v>3111</v>
      </c>
      <c r="G633" s="73" t="s">
        <v>204</v>
      </c>
      <c r="H633" s="74">
        <f>[1]!'@CTA[8-2-1-3-1-3111,F,6,#6]'</f>
        <v>5605</v>
      </c>
      <c r="I633" s="74">
        <f>[1]!'@CTA[8-2-3-3-1-3111,F,6,#6]'</f>
        <v>0</v>
      </c>
      <c r="J633" s="75">
        <f>[1]!'@CTA[8-2-1-3-1-3111,F,6,#6]'+[1]!'@CTA[8-2-3-3-1-3111,F,6,#6]'</f>
        <v>5605</v>
      </c>
      <c r="K633" s="76">
        <f>[1]!'@CTA[8-2-4-3-1-3111,J,6,#6]'</f>
        <v>2187.19</v>
      </c>
      <c r="L633" s="76">
        <f>[1]!'@CTA[8-2-5-3-1-3111,J,6,#6]'</f>
        <v>2187.19</v>
      </c>
      <c r="M633" s="76">
        <f>[1]!'@CTA[8-2-6-3-1-3111,J,6,#6]'</f>
        <v>2187.19</v>
      </c>
      <c r="N633" s="74">
        <f>[1]!'@CTA[8-2-7-3-1-3111,F,6,#6]'</f>
        <v>2187.190000000001</v>
      </c>
      <c r="O633" s="66">
        <f t="shared" si="41"/>
        <v>3417.81</v>
      </c>
    </row>
    <row r="634" spans="1:15" ht="48" x14ac:dyDescent="0.2">
      <c r="A634" s="67" t="s">
        <v>295</v>
      </c>
      <c r="B634" s="61" t="s">
        <v>152</v>
      </c>
      <c r="C634" s="61" t="s">
        <v>149</v>
      </c>
      <c r="D634" s="62" t="s">
        <v>296</v>
      </c>
      <c r="E634" s="71" t="s">
        <v>177</v>
      </c>
      <c r="F634" s="72">
        <v>3131</v>
      </c>
      <c r="G634" s="73" t="s">
        <v>205</v>
      </c>
      <c r="H634" s="74">
        <f>[1]!'@CTA[8-2-1-3-1-3131,F,6,#6]'</f>
        <v>960</v>
      </c>
      <c r="I634" s="74">
        <f>[1]!'@CTA[8-2-3-3-1-3131,F,6,#6]'</f>
        <v>0</v>
      </c>
      <c r="J634" s="75">
        <f>[1]!'@CTA[8-2-1-3-1-3131,F,6,#6]'+[1]!'@CTA[8-2-3-3-1-3131,F,6,#6]'</f>
        <v>960</v>
      </c>
      <c r="K634" s="76">
        <f>[1]!'@CTA[8-2-4-3-1-3131,J,6,#6]'</f>
        <v>182.4</v>
      </c>
      <c r="L634" s="76">
        <f>[1]!'@CTA[8-2-5-3-1-3131,J,6,#6]'</f>
        <v>182.4</v>
      </c>
      <c r="M634" s="76">
        <f>[1]!'@CTA[8-2-6-3-1-3131,J,6,#6]'</f>
        <v>182.4</v>
      </c>
      <c r="N634" s="74">
        <f>[1]!'@CTA[8-2-7-3-1-3131,F,6,#6]'</f>
        <v>182.39999999999989</v>
      </c>
      <c r="O634" s="66">
        <f t="shared" si="41"/>
        <v>777.6</v>
      </c>
    </row>
    <row r="635" spans="1:15" ht="48" x14ac:dyDescent="0.2">
      <c r="A635" s="67" t="s">
        <v>295</v>
      </c>
      <c r="B635" s="61" t="s">
        <v>152</v>
      </c>
      <c r="C635" s="61" t="s">
        <v>149</v>
      </c>
      <c r="D635" s="62" t="s">
        <v>296</v>
      </c>
      <c r="E635" s="71" t="s">
        <v>177</v>
      </c>
      <c r="F635" s="72">
        <v>3141</v>
      </c>
      <c r="G635" s="73" t="s">
        <v>206</v>
      </c>
      <c r="H635" s="74">
        <f>[1]!'@CTA[8-2-1-3-1-3141,F,6,#6]'</f>
        <v>2940</v>
      </c>
      <c r="I635" s="74">
        <f>[1]!'@CTA[8-2-3-3-1-3141,F,6,#6]'</f>
        <v>466.96</v>
      </c>
      <c r="J635" s="75">
        <f>[1]!'@CTA[8-2-1-3-1-3141,F,6,#6]'+[1]!'@CTA[8-2-3-3-1-3141,F,6,#6]'</f>
        <v>3406.96</v>
      </c>
      <c r="K635" s="76">
        <f>[1]!'@CTA[8-2-4-3-1-3141,J,6,#6]'</f>
        <v>1091.01</v>
      </c>
      <c r="L635" s="76">
        <f>[1]!'@CTA[8-2-5-3-1-3141,J,6,#6]'</f>
        <v>1091.01</v>
      </c>
      <c r="M635" s="76">
        <f>[1]!'@CTA[8-2-6-3-1-3141,J,6,#6]'</f>
        <v>1091.01</v>
      </c>
      <c r="N635" s="74">
        <f>[1]!'@CTA[8-2-7-3-1-3141,F,6,#6]'</f>
        <v>950.68999999999915</v>
      </c>
      <c r="O635" s="66">
        <f t="shared" si="41"/>
        <v>2315.9499999999998</v>
      </c>
    </row>
    <row r="636" spans="1:15" ht="48" x14ac:dyDescent="0.2">
      <c r="A636" s="67" t="s">
        <v>295</v>
      </c>
      <c r="B636" s="61" t="s">
        <v>152</v>
      </c>
      <c r="C636" s="61" t="s">
        <v>149</v>
      </c>
      <c r="D636" s="62" t="s">
        <v>296</v>
      </c>
      <c r="E636" s="71" t="s">
        <v>177</v>
      </c>
      <c r="F636" s="72">
        <v>3161</v>
      </c>
      <c r="G636" s="73" t="s">
        <v>207</v>
      </c>
      <c r="H636" s="74">
        <f>[1]!'@CTA[8-2-1-3-1-3161,F,6,#6]'</f>
        <v>0</v>
      </c>
      <c r="I636" s="74">
        <f>[1]!'@CTA[8-2-3-3-1-3161,F,6,#6]'</f>
        <v>0</v>
      </c>
      <c r="J636" s="75">
        <f>[1]!'@CTA[8-2-1-3-1-3161,F,6,#6]'+[1]!'@CTA[8-2-3-3-1-3161,F,6,#6]'</f>
        <v>0</v>
      </c>
      <c r="K636" s="76">
        <f>[1]!'@CTA[8-2-4-3-1-3161,J,6,#6]'</f>
        <v>0</v>
      </c>
      <c r="L636" s="76">
        <f>[1]!'@CTA[8-2-5-3-1-3161,J,6,#6]'</f>
        <v>0</v>
      </c>
      <c r="M636" s="76">
        <f>[1]!'@CTA[8-2-6-3-1-3161,J,6,#6]'</f>
        <v>0</v>
      </c>
      <c r="N636" s="74">
        <f>[1]!'@CTA[8-2-7-3-1-3161,F,6,#6]'</f>
        <v>0</v>
      </c>
      <c r="O636" s="66">
        <f t="shared" si="41"/>
        <v>0</v>
      </c>
    </row>
    <row r="637" spans="1:15" ht="48" x14ac:dyDescent="0.2">
      <c r="A637" s="67" t="s">
        <v>295</v>
      </c>
      <c r="B637" s="61" t="s">
        <v>152</v>
      </c>
      <c r="C637" s="61" t="s">
        <v>149</v>
      </c>
      <c r="D637" s="62" t="s">
        <v>296</v>
      </c>
      <c r="E637" s="71" t="s">
        <v>177</v>
      </c>
      <c r="F637" s="72">
        <v>3171</v>
      </c>
      <c r="G637" s="73" t="s">
        <v>208</v>
      </c>
      <c r="H637" s="74">
        <f>[1]!'@CTA[8-2-1-3-1-3171,F,6,#6]'</f>
        <v>655</v>
      </c>
      <c r="I637" s="74">
        <f>[1]!'@CTA[8-2-3-3-1-3171,F,6,#6]'</f>
        <v>0</v>
      </c>
      <c r="J637" s="75">
        <f>[1]!'@CTA[8-2-1-3-1-3171,F,6,#6]'+[1]!'@CTA[8-2-3-3-1-3171,F,6,#6]'</f>
        <v>655</v>
      </c>
      <c r="K637" s="76">
        <f>[1]!'@CTA[8-2-4-3-1-3171,J,6,#6]'</f>
        <v>0</v>
      </c>
      <c r="L637" s="76">
        <f>[1]!'@CTA[8-2-5-3-1-3171,J,6,#6]'</f>
        <v>0</v>
      </c>
      <c r="M637" s="76">
        <f>[1]!'@CTA[8-2-6-3-1-3171,J,6,#6]'</f>
        <v>0</v>
      </c>
      <c r="N637" s="74">
        <f>[1]!'@CTA[8-2-7-3-1-3171,F,6,#6]'</f>
        <v>0</v>
      </c>
      <c r="O637" s="66">
        <f t="shared" si="41"/>
        <v>655</v>
      </c>
    </row>
    <row r="638" spans="1:15" ht="48" x14ac:dyDescent="0.2">
      <c r="A638" s="67" t="s">
        <v>295</v>
      </c>
      <c r="B638" s="61" t="s">
        <v>152</v>
      </c>
      <c r="C638" s="61" t="s">
        <v>149</v>
      </c>
      <c r="D638" s="62" t="s">
        <v>296</v>
      </c>
      <c r="E638" s="71" t="s">
        <v>177</v>
      </c>
      <c r="F638" s="72">
        <v>3181</v>
      </c>
      <c r="G638" s="73" t="s">
        <v>209</v>
      </c>
      <c r="H638" s="74">
        <f>[1]!'@CTA[8-2-1-3-1-3181,F,6,#6]'</f>
        <v>0</v>
      </c>
      <c r="I638" s="74">
        <f>[1]!'@CTA[8-2-3-3-1-3181,F,6,#6]'</f>
        <v>0</v>
      </c>
      <c r="J638" s="75">
        <f>[1]!'@CTA[8-2-1-3-1-3181,F,6,#6]'+[1]!'@CTA[8-2-3-3-1-3181,F,6,#6]'</f>
        <v>0</v>
      </c>
      <c r="K638" s="76">
        <f>[1]!'@CTA[8-2-4-3-1-3181,J,6,#6]'</f>
        <v>0</v>
      </c>
      <c r="L638" s="76">
        <f>[1]!'@CTA[8-2-5-3-1-3181,J,6,#6]'</f>
        <v>0</v>
      </c>
      <c r="M638" s="76">
        <f>[1]!'@CTA[8-2-6-3-1-3181,J,6,#6]'</f>
        <v>0</v>
      </c>
      <c r="N638" s="74">
        <f>[1]!'@CTA[8-2-7-3-1-3181,F,6,#6]'</f>
        <v>0</v>
      </c>
      <c r="O638" s="66">
        <f t="shared" si="41"/>
        <v>0</v>
      </c>
    </row>
    <row r="639" spans="1:15" ht="48" x14ac:dyDescent="0.2">
      <c r="A639" s="67" t="s">
        <v>295</v>
      </c>
      <c r="B639" s="61" t="s">
        <v>152</v>
      </c>
      <c r="C639" s="61" t="s">
        <v>149</v>
      </c>
      <c r="D639" s="62" t="s">
        <v>296</v>
      </c>
      <c r="E639" s="71" t="s">
        <v>177</v>
      </c>
      <c r="F639" s="72">
        <v>3182</v>
      </c>
      <c r="G639" s="73" t="s">
        <v>210</v>
      </c>
      <c r="H639" s="74">
        <f>[1]!'@CTA[8-2-1-3-1-3182,F,6,#6]'</f>
        <v>0</v>
      </c>
      <c r="I639" s="74">
        <f>[1]!'@CTA[8-2-3-3-1-3182,F,6,#6]'</f>
        <v>0</v>
      </c>
      <c r="J639" s="75">
        <f>[1]!'@CTA[8-2-1-3-1-3182,F,6,#6]'+[1]!'@CTA[8-2-3-3-1-3182,F,6,#6]'</f>
        <v>0</v>
      </c>
      <c r="K639" s="76">
        <f>[1]!'@CTA[8-2-4-3-1-3182,J,6,#6]'</f>
        <v>0</v>
      </c>
      <c r="L639" s="76">
        <f>[1]!'@CTA[8-2-5-3-1-3182,J,6,#6]'</f>
        <v>0</v>
      </c>
      <c r="M639" s="76">
        <f>[1]!'@CTA[8-2-6-3-1-3182,J,6,#6]'</f>
        <v>0</v>
      </c>
      <c r="N639" s="74">
        <f>[1]!'@CTA[8-2-7-3-1-3182,F,6,#6]'</f>
        <v>0</v>
      </c>
      <c r="O639" s="66">
        <f t="shared" si="41"/>
        <v>0</v>
      </c>
    </row>
    <row r="640" spans="1:15" ht="48" x14ac:dyDescent="0.2">
      <c r="A640" s="67" t="s">
        <v>295</v>
      </c>
      <c r="B640" s="61" t="s">
        <v>152</v>
      </c>
      <c r="C640" s="61" t="s">
        <v>149</v>
      </c>
      <c r="D640" s="62" t="s">
        <v>296</v>
      </c>
      <c r="E640" s="71" t="s">
        <v>211</v>
      </c>
      <c r="F640" s="72">
        <v>3211</v>
      </c>
      <c r="G640" s="73" t="s">
        <v>212</v>
      </c>
      <c r="H640" s="74">
        <f>[1]!'@CTA[8-2-1-3-2-3211,F,6,#6]'</f>
        <v>0</v>
      </c>
      <c r="I640" s="74">
        <f>[1]!'@CTA[8-2-3-3-2-3211,F,6,#6]'</f>
        <v>0</v>
      </c>
      <c r="J640" s="75">
        <f>[1]!'@CTA[8-2-1-3-2-3211,F,6,#6]'+[1]!'@CTA[8-2-3-3-2-3211,F,6,#6]'</f>
        <v>0</v>
      </c>
      <c r="K640" s="76">
        <f>[1]!'@CTA[8-2-4-3-2-3211,J,6,#6]'</f>
        <v>0</v>
      </c>
      <c r="L640" s="76">
        <f>[1]!'@CTA[8-2-5-3-2-3211,J,6,#6]'</f>
        <v>0</v>
      </c>
      <c r="M640" s="76">
        <f>[1]!'@CTA[8-2-6-3-2-3211,J,6,#6]'</f>
        <v>0</v>
      </c>
      <c r="N640" s="74">
        <f>[1]!'@CTA[8-2-7-3-2-3211,F,6,#6]'</f>
        <v>0</v>
      </c>
      <c r="O640" s="66">
        <f t="shared" si="41"/>
        <v>0</v>
      </c>
    </row>
    <row r="641" spans="1:15" ht="48" x14ac:dyDescent="0.2">
      <c r="A641" s="67" t="s">
        <v>295</v>
      </c>
      <c r="B641" s="61" t="s">
        <v>152</v>
      </c>
      <c r="C641" s="61" t="s">
        <v>149</v>
      </c>
      <c r="D641" s="62" t="s">
        <v>296</v>
      </c>
      <c r="E641" s="71" t="s">
        <v>177</v>
      </c>
      <c r="F641" s="72">
        <v>3231</v>
      </c>
      <c r="G641" s="73" t="s">
        <v>213</v>
      </c>
      <c r="H641" s="74">
        <f>[1]!'@CTA[8-2-1-3-2-3231,F,6,#6]'</f>
        <v>0</v>
      </c>
      <c r="I641" s="74">
        <f>[1]!'@CTA[8-2-3-3-2-3231,F,6,#6]'</f>
        <v>0</v>
      </c>
      <c r="J641" s="75">
        <f>[1]!'@CTA[8-2-1-3-2-3231,F,6,#6]'+[1]!'@CTA[8-2-3-3-2-3231,F,6,#6]'</f>
        <v>0</v>
      </c>
      <c r="K641" s="76">
        <f>[1]!'@CTA[8-2-4-3-2-3231,J,6,#6]'</f>
        <v>0</v>
      </c>
      <c r="L641" s="76">
        <f>[1]!'@CTA[8-2-5-3-2-3231,J,6,#6]'</f>
        <v>0</v>
      </c>
      <c r="M641" s="76">
        <f>[1]!'@CTA[8-2-6-3-2-3231,J,6,#6]'</f>
        <v>0</v>
      </c>
      <c r="N641" s="74">
        <f>[1]!'@CTA[8-2-7-3-2-3231,F,6,#6]'</f>
        <v>0</v>
      </c>
      <c r="O641" s="66">
        <f t="shared" si="41"/>
        <v>0</v>
      </c>
    </row>
    <row r="642" spans="1:15" ht="48" x14ac:dyDescent="0.2">
      <c r="A642" s="67" t="s">
        <v>295</v>
      </c>
      <c r="B642" s="61" t="s">
        <v>152</v>
      </c>
      <c r="C642" s="61" t="s">
        <v>149</v>
      </c>
      <c r="D642" s="62" t="s">
        <v>296</v>
      </c>
      <c r="E642" s="71" t="s">
        <v>177</v>
      </c>
      <c r="F642" s="72">
        <v>3261</v>
      </c>
      <c r="G642" s="73" t="s">
        <v>214</v>
      </c>
      <c r="H642" s="74">
        <f>[1]!'@CTA[8-2-1-3-2-3261,F,6,#6]'</f>
        <v>0</v>
      </c>
      <c r="I642" s="74">
        <f>[1]!'@CTA[8-2-3-3-2-3261,F,6,#6]'</f>
        <v>0</v>
      </c>
      <c r="J642" s="75">
        <f>[1]!'@CTA[8-2-1-3-2-3261,F,6,#6]'+[1]!'@CTA[8-2-3-3-2-3261,F,6,#6]'</f>
        <v>0</v>
      </c>
      <c r="K642" s="76">
        <f>[1]!'@CTA[8-2-4-3-2-3261,J,6,#6]'</f>
        <v>0</v>
      </c>
      <c r="L642" s="76">
        <f>[1]!'@CTA[8-2-5-3-2-3261,J,6,#6]'</f>
        <v>0</v>
      </c>
      <c r="M642" s="76">
        <f>[1]!'@CTA[8-2-6-3-2-3261,J,6,#6]'</f>
        <v>0</v>
      </c>
      <c r="N642" s="74">
        <f>[1]!'@CTA[8-2-7-3-2-3261,F,6,#6]'</f>
        <v>0</v>
      </c>
      <c r="O642" s="66">
        <f t="shared" si="41"/>
        <v>0</v>
      </c>
    </row>
    <row r="643" spans="1:15" ht="48" x14ac:dyDescent="0.2">
      <c r="A643" s="67" t="s">
        <v>295</v>
      </c>
      <c r="B643" s="61" t="s">
        <v>152</v>
      </c>
      <c r="C643" s="61" t="s">
        <v>149</v>
      </c>
      <c r="D643" s="62" t="s">
        <v>296</v>
      </c>
      <c r="E643" s="71" t="s">
        <v>177</v>
      </c>
      <c r="F643" s="72">
        <v>3291</v>
      </c>
      <c r="G643" s="73" t="s">
        <v>215</v>
      </c>
      <c r="H643" s="74">
        <f>[1]!'@CTA[8-2-1-3-2-3291,F,6,#6]'</f>
        <v>0</v>
      </c>
      <c r="I643" s="74">
        <f>[1]!'@CTA[8-2-3-3-2-3291,F,6,#6]'</f>
        <v>0</v>
      </c>
      <c r="J643" s="75">
        <f>[1]!'@CTA[8-2-1-3-2-3291,F,6,#6]'+[1]!'@CTA[8-2-3-3-2-3291,F,6,#6]'</f>
        <v>0</v>
      </c>
      <c r="K643" s="76">
        <f>[1]!'@CTA[8-2-4-3-2-3291,J,6,#6]'</f>
        <v>0</v>
      </c>
      <c r="L643" s="76">
        <f>[1]!'@CTA[8-2-5-3-2-3291,J,6,#6]'</f>
        <v>0</v>
      </c>
      <c r="M643" s="76">
        <f>[1]!'@CTA[8-2-6-3-2-3291,J,6,#6]'</f>
        <v>0</v>
      </c>
      <c r="N643" s="74">
        <f>[1]!'@CTA[8-2-7-3-2-3291,F,6,#6]'</f>
        <v>0</v>
      </c>
      <c r="O643" s="66">
        <f t="shared" si="41"/>
        <v>0</v>
      </c>
    </row>
    <row r="644" spans="1:15" ht="48" x14ac:dyDescent="0.2">
      <c r="A644" s="67" t="s">
        <v>295</v>
      </c>
      <c r="B644" s="61" t="s">
        <v>152</v>
      </c>
      <c r="C644" s="61" t="s">
        <v>149</v>
      </c>
      <c r="D644" s="62" t="s">
        <v>296</v>
      </c>
      <c r="E644" s="71" t="s">
        <v>177</v>
      </c>
      <c r="F644" s="72">
        <v>3311</v>
      </c>
      <c r="G644" s="73" t="s">
        <v>216</v>
      </c>
      <c r="H644" s="74">
        <f>[1]!'@CTA[8-2-1-3-3-3311,F,6,#6]'</f>
        <v>0</v>
      </c>
      <c r="I644" s="74">
        <f>[1]!'@CTA[8-2-3-3-3-3311,F,6,#6]'</f>
        <v>0</v>
      </c>
      <c r="J644" s="75">
        <f>[1]!'@CTA[8-2-1-3-3-3311,F,6,#6]'+[1]!'@CTA[8-2-3-3-3-3311,F,6,#6]'</f>
        <v>0</v>
      </c>
      <c r="K644" s="76">
        <f>[1]!'@CTA[8-2-4-3-3-3311,J,6,#6]'</f>
        <v>0</v>
      </c>
      <c r="L644" s="76">
        <f>[1]!'@CTA[8-2-5-3-3-3311,J,6,#6]'</f>
        <v>0</v>
      </c>
      <c r="M644" s="76">
        <f>[1]!'@CTA[8-2-6-3-3-3311,J,6,#6]'</f>
        <v>0</v>
      </c>
      <c r="N644" s="74">
        <f>[1]!'@CTA[8-2-7-3-3-3311,F,6,#6]'</f>
        <v>0</v>
      </c>
      <c r="O644" s="66">
        <f t="shared" si="41"/>
        <v>0</v>
      </c>
    </row>
    <row r="645" spans="1:15" ht="48" x14ac:dyDescent="0.2">
      <c r="A645" s="67" t="s">
        <v>295</v>
      </c>
      <c r="B645" s="61" t="s">
        <v>152</v>
      </c>
      <c r="C645" s="61" t="s">
        <v>149</v>
      </c>
      <c r="D645" s="62" t="s">
        <v>296</v>
      </c>
      <c r="E645" s="71" t="s">
        <v>177</v>
      </c>
      <c r="F645" s="72">
        <v>3331</v>
      </c>
      <c r="G645" s="73" t="s">
        <v>217</v>
      </c>
      <c r="H645" s="74">
        <f>[1]!'@CTA[8-2-1-3-3-3331,F,6,#6]'</f>
        <v>0</v>
      </c>
      <c r="I645" s="74">
        <f>[1]!'@CTA[8-2-3-3-3-3331,F,6,#6]'</f>
        <v>0</v>
      </c>
      <c r="J645" s="75">
        <f>[1]!'@CTA[8-2-1-3-3-3331,F,6,#6]'+[1]!'@CTA[8-2-3-3-3-3331,F,6,#6]'</f>
        <v>0</v>
      </c>
      <c r="K645" s="76">
        <f>[1]!'@CTA[8-2-4-3-3-3331,J,6,#6]'</f>
        <v>0</v>
      </c>
      <c r="L645" s="76">
        <f>[1]!'@CTA[8-2-5-3-3-3331,J,6,#6]'</f>
        <v>0</v>
      </c>
      <c r="M645" s="76">
        <f>[1]!'@CTA[8-2-6-3-3-3331,J,6,#6]'</f>
        <v>0</v>
      </c>
      <c r="N645" s="74">
        <f>[1]!'@CTA[8-2-7-3-3-3331,F,6,#6]'</f>
        <v>0</v>
      </c>
      <c r="O645" s="66">
        <f t="shared" si="41"/>
        <v>0</v>
      </c>
    </row>
    <row r="646" spans="1:15" ht="48" x14ac:dyDescent="0.2">
      <c r="A646" s="67" t="s">
        <v>295</v>
      </c>
      <c r="B646" s="61" t="s">
        <v>152</v>
      </c>
      <c r="C646" s="61" t="s">
        <v>149</v>
      </c>
      <c r="D646" s="62" t="s">
        <v>296</v>
      </c>
      <c r="E646" s="71" t="s">
        <v>177</v>
      </c>
      <c r="F646" s="72">
        <v>3332</v>
      </c>
      <c r="G646" s="73" t="s">
        <v>218</v>
      </c>
      <c r="H646" s="74">
        <f>[1]!'@CTA[8-2-1-3-3-3332,F,6,#6]'</f>
        <v>0</v>
      </c>
      <c r="I646" s="74">
        <f>[1]!'@CTA[8-2-3-3-3-3332,F,6,#6]'</f>
        <v>0</v>
      </c>
      <c r="J646" s="75">
        <f>[1]!'@CTA[8-2-1-3-3-3332,F,6,#6]'+[1]!'@CTA[8-2-3-3-3-3332,F,6,#6]'</f>
        <v>0</v>
      </c>
      <c r="K646" s="76">
        <f>[1]!'@CTA[8-2-4-3-3-3332,J,6,#6]'</f>
        <v>0</v>
      </c>
      <c r="L646" s="76">
        <f>[1]!'@CTA[8-2-5-3-3-3332,J,6,#6]'</f>
        <v>0</v>
      </c>
      <c r="M646" s="76">
        <f>[1]!'@CTA[8-2-6-3-3-3332,J,6,#6]'</f>
        <v>0</v>
      </c>
      <c r="N646" s="74">
        <f>[1]!'@CTA[8-2-7-3-3-3332,F,6,#6]'</f>
        <v>0</v>
      </c>
      <c r="O646" s="66">
        <f t="shared" si="41"/>
        <v>0</v>
      </c>
    </row>
    <row r="647" spans="1:15" ht="48" x14ac:dyDescent="0.2">
      <c r="A647" s="67" t="s">
        <v>295</v>
      </c>
      <c r="B647" s="61" t="s">
        <v>152</v>
      </c>
      <c r="C647" s="61" t="s">
        <v>149</v>
      </c>
      <c r="D647" s="62" t="s">
        <v>296</v>
      </c>
      <c r="E647" s="71" t="s">
        <v>177</v>
      </c>
      <c r="F647" s="72">
        <v>3341</v>
      </c>
      <c r="G647" s="73" t="s">
        <v>219</v>
      </c>
      <c r="H647" s="74">
        <f>[1]!'@CTA[8-2-1-3-3-3341,F,6,#6]'</f>
        <v>0</v>
      </c>
      <c r="I647" s="74">
        <f>[1]!'@CTA[8-2-3-3-3-3341,F,6,#6]'</f>
        <v>0</v>
      </c>
      <c r="J647" s="75">
        <f>[1]!'@CTA[8-2-1-3-3-3341,F,6,#6]'+[1]!'@CTA[8-2-3-3-3-3341,F,6,#6]'</f>
        <v>0</v>
      </c>
      <c r="K647" s="76">
        <f>[1]!'@CTA[8-2-4-3-3-3341,J,6,#6]'</f>
        <v>0</v>
      </c>
      <c r="L647" s="76">
        <f>[1]!'@CTA[8-2-5-3-3-3341,J,6,#6]'</f>
        <v>0</v>
      </c>
      <c r="M647" s="76">
        <f>[1]!'@CTA[8-2-6-3-3-3341,J,6,#6]'</f>
        <v>0</v>
      </c>
      <c r="N647" s="74">
        <f>[1]!'@CTA[8-2-7-3-3-3341,F,6,#6]'</f>
        <v>0</v>
      </c>
      <c r="O647" s="66">
        <f t="shared" si="41"/>
        <v>0</v>
      </c>
    </row>
    <row r="648" spans="1:15" ht="48" x14ac:dyDescent="0.2">
      <c r="A648" s="67" t="s">
        <v>295</v>
      </c>
      <c r="B648" s="61" t="s">
        <v>152</v>
      </c>
      <c r="C648" s="61" t="s">
        <v>149</v>
      </c>
      <c r="D648" s="62" t="s">
        <v>296</v>
      </c>
      <c r="E648" s="71" t="s">
        <v>177</v>
      </c>
      <c r="F648" s="72">
        <v>3381</v>
      </c>
      <c r="G648" s="73" t="s">
        <v>220</v>
      </c>
      <c r="H648" s="74">
        <f>[1]!'@CTA[8-2-1-3-3-3381,F,6,#6]'</f>
        <v>0</v>
      </c>
      <c r="I648" s="74">
        <f>[1]!'@CTA[8-2-3-3-3-3381,F,6,#6]'</f>
        <v>0</v>
      </c>
      <c r="J648" s="75">
        <f>[1]!'@CTA[8-2-1-3-3-3381,F,6,#6]'+[1]!'@CTA[8-2-3-3-3-3381,F,6,#6]'</f>
        <v>0</v>
      </c>
      <c r="K648" s="76">
        <f>[1]!'@CTA[8-2-4-3-3-3381,J,6,#6]'</f>
        <v>0</v>
      </c>
      <c r="L648" s="76">
        <f>[1]!'@CTA[8-2-5-3-3-3381,J,6,#6]'</f>
        <v>0</v>
      </c>
      <c r="M648" s="76">
        <f>[1]!'@CTA[8-2-6-3-3-3381,J,6,#6]'</f>
        <v>0</v>
      </c>
      <c r="N648" s="74">
        <f>[1]!'@CTA[8-2-7-3-3-3381,F,6,#6]'</f>
        <v>0</v>
      </c>
      <c r="O648" s="66">
        <f t="shared" ref="O648:O711" si="46">J648-L648</f>
        <v>0</v>
      </c>
    </row>
    <row r="649" spans="1:15" ht="48" x14ac:dyDescent="0.2">
      <c r="A649" s="67" t="s">
        <v>295</v>
      </c>
      <c r="B649" s="61" t="s">
        <v>152</v>
      </c>
      <c r="C649" s="61" t="s">
        <v>149</v>
      </c>
      <c r="D649" s="62" t="s">
        <v>296</v>
      </c>
      <c r="E649" s="71" t="s">
        <v>177</v>
      </c>
      <c r="F649" s="72">
        <v>3391</v>
      </c>
      <c r="G649" s="73" t="s">
        <v>221</v>
      </c>
      <c r="H649" s="74">
        <f>[1]!'@CTA[8-2-1-3-3-3391,F,6,#6]'</f>
        <v>0</v>
      </c>
      <c r="I649" s="74">
        <f>[1]!'@CTA[8-2-3-3-3-3391,F,6,#6]'</f>
        <v>0</v>
      </c>
      <c r="J649" s="75">
        <f>[1]!'@CTA[8-2-1-3-3-3391,F,6,#6]'+[1]!'@CTA[8-2-3-3-3-3391,F,6,#6]'</f>
        <v>0</v>
      </c>
      <c r="K649" s="76">
        <f>[1]!'@CTA[8-2-4-3-3-3391,J,6,#6]'</f>
        <v>0</v>
      </c>
      <c r="L649" s="76">
        <f>[1]!'@CTA[8-2-5-3-3-3391,J,6,#6]'</f>
        <v>0</v>
      </c>
      <c r="M649" s="76">
        <f>[1]!'@CTA[8-2-6-3-3-3391,J,6,#6]'</f>
        <v>0</v>
      </c>
      <c r="N649" s="74">
        <f>[1]!'@CTA[8-2-7-3-3-3391,F,6,#6]'</f>
        <v>0</v>
      </c>
      <c r="O649" s="66">
        <f t="shared" si="46"/>
        <v>0</v>
      </c>
    </row>
    <row r="650" spans="1:15" ht="48" x14ac:dyDescent="0.2">
      <c r="A650" s="67" t="s">
        <v>295</v>
      </c>
      <c r="B650" s="61" t="s">
        <v>152</v>
      </c>
      <c r="C650" s="61" t="s">
        <v>149</v>
      </c>
      <c r="D650" s="62" t="s">
        <v>296</v>
      </c>
      <c r="E650" s="71" t="s">
        <v>177</v>
      </c>
      <c r="F650" s="72">
        <v>3411</v>
      </c>
      <c r="G650" s="73" t="s">
        <v>222</v>
      </c>
      <c r="H650" s="74">
        <f>[1]!'@CTA[8-2-1-3-4-3411,F,6,#6]'</f>
        <v>0</v>
      </c>
      <c r="I650" s="74">
        <f>[1]!'@CTA[8-2-3-3-4-3411,F,6,#6]'</f>
        <v>0</v>
      </c>
      <c r="J650" s="75">
        <f>[1]!'@CTA[8-2-1-3-4-3411,F,6,#6]'+[1]!'@CTA[8-2-3-3-4-3411,F,6,#6]'</f>
        <v>0</v>
      </c>
      <c r="K650" s="76">
        <f>[1]!'@CTA[8-2-4-3-4-3411,J,6,#6]'</f>
        <v>0</v>
      </c>
      <c r="L650" s="76">
        <f>[1]!'@CTA[8-2-5-3-4-3411,J,6,#6]'</f>
        <v>0</v>
      </c>
      <c r="M650" s="76">
        <f>[1]!'@CTA[8-2-6-3-4-3411,J,6,#6]'</f>
        <v>0</v>
      </c>
      <c r="N650" s="74">
        <f>[1]!'@CTA[8-2-7-3-4-3411,F,6,#6]'</f>
        <v>0</v>
      </c>
      <c r="O650" s="66">
        <f t="shared" si="46"/>
        <v>0</v>
      </c>
    </row>
    <row r="651" spans="1:15" ht="48" x14ac:dyDescent="0.2">
      <c r="A651" s="67" t="s">
        <v>295</v>
      </c>
      <c r="B651" s="61" t="s">
        <v>152</v>
      </c>
      <c r="C651" s="61" t="s">
        <v>149</v>
      </c>
      <c r="D651" s="62" t="s">
        <v>296</v>
      </c>
      <c r="E651" s="71" t="s">
        <v>177</v>
      </c>
      <c r="F651" s="72">
        <v>3431</v>
      </c>
      <c r="G651" s="73" t="s">
        <v>223</v>
      </c>
      <c r="H651" s="74">
        <f>[1]!'@CTA[8-2-1-3-4-3431,F,6,#6]'</f>
        <v>0</v>
      </c>
      <c r="I651" s="74">
        <f>[1]!'@CTA[8-2-3-3-4-3431,F,6,#6]'</f>
        <v>0</v>
      </c>
      <c r="J651" s="75">
        <f>[1]!'@CTA[8-2-1-3-4-3431,F,6,#6]'+[1]!'@CTA[8-2-3-3-4-3431,F,6,#6]'</f>
        <v>0</v>
      </c>
      <c r="K651" s="76">
        <f>[1]!'@CTA[8-2-4-3-4-3431,J,6,#6]'</f>
        <v>0</v>
      </c>
      <c r="L651" s="76">
        <f>[1]!'@CTA[8-2-5-3-4-3431,J,6,#6]'</f>
        <v>0</v>
      </c>
      <c r="M651" s="76">
        <f>[1]!'@CTA[8-2-6-3-4-3431,J,6,#6]'</f>
        <v>0</v>
      </c>
      <c r="N651" s="74">
        <f>[1]!'@CTA[8-2-7-3-4-3431,F,6,#6]'</f>
        <v>0</v>
      </c>
      <c r="O651" s="66">
        <f t="shared" si="46"/>
        <v>0</v>
      </c>
    </row>
    <row r="652" spans="1:15" ht="48" x14ac:dyDescent="0.2">
      <c r="A652" s="67" t="s">
        <v>295</v>
      </c>
      <c r="B652" s="61" t="s">
        <v>152</v>
      </c>
      <c r="C652" s="61" t="s">
        <v>149</v>
      </c>
      <c r="D652" s="62" t="s">
        <v>296</v>
      </c>
      <c r="E652" s="71" t="s">
        <v>177</v>
      </c>
      <c r="F652" s="72">
        <v>3451</v>
      </c>
      <c r="G652" s="73" t="s">
        <v>224</v>
      </c>
      <c r="H652" s="74">
        <f>[1]!'@CTA[8-2-1-3-4-3451,F,6,#6]'</f>
        <v>233</v>
      </c>
      <c r="I652" s="74">
        <f>[1]!'@CTA[8-2-3-3-4-3451,F,6,#6]'</f>
        <v>0</v>
      </c>
      <c r="J652" s="75">
        <f>[1]!'@CTA[8-2-1-3-4-3451,F,6,#6]'+[1]!'@CTA[8-2-3-3-4-3451,F,6,#6]'</f>
        <v>233</v>
      </c>
      <c r="K652" s="76">
        <f>[1]!'@CTA[8-2-4-3-4-3451,J,6,#6]'</f>
        <v>60.179999999999993</v>
      </c>
      <c r="L652" s="76">
        <f>[1]!'@CTA[8-2-5-3-4-3451,J,6,#6]'</f>
        <v>60.179999999999993</v>
      </c>
      <c r="M652" s="76">
        <f>[1]!'@CTA[8-2-6-3-4-3451,J,6,#6]'</f>
        <v>60.179999999999993</v>
      </c>
      <c r="N652" s="74">
        <f>[1]!'@CTA[8-2-7-3-4-3451,F,6,#6]'</f>
        <v>60.180000000000049</v>
      </c>
      <c r="O652" s="66">
        <f t="shared" si="46"/>
        <v>172.82</v>
      </c>
    </row>
    <row r="653" spans="1:15" ht="48" x14ac:dyDescent="0.2">
      <c r="A653" s="67" t="s">
        <v>295</v>
      </c>
      <c r="B653" s="61" t="s">
        <v>152</v>
      </c>
      <c r="C653" s="61" t="s">
        <v>149</v>
      </c>
      <c r="D653" s="62" t="s">
        <v>296</v>
      </c>
      <c r="E653" s="71" t="s">
        <v>177</v>
      </c>
      <c r="F653" s="72">
        <v>3471</v>
      </c>
      <c r="G653" s="73" t="s">
        <v>225</v>
      </c>
      <c r="H653" s="74">
        <f>[1]!'@CTA[8-2-1-3-4-3471,F,6,#6]'</f>
        <v>2000</v>
      </c>
      <c r="I653" s="74">
        <f>[1]!'@CTA[8-2-3-3-4-3471,F,6,#6]'</f>
        <v>0</v>
      </c>
      <c r="J653" s="75">
        <f>[1]!'@CTA[8-2-1-3-4-3471,F,6,#6]'+[1]!'@CTA[8-2-3-3-4-3471,F,6,#6]'</f>
        <v>2000</v>
      </c>
      <c r="K653" s="76">
        <f>[1]!'@CTA[8-2-4-3-4-3471,J,6,#6]'</f>
        <v>467.73</v>
      </c>
      <c r="L653" s="76">
        <f>[1]!'@CTA[8-2-5-3-4-3471,J,6,#6]'</f>
        <v>467.73</v>
      </c>
      <c r="M653" s="76">
        <f>[1]!'@CTA[8-2-6-3-4-3471,J,6,#6]'</f>
        <v>467.73</v>
      </c>
      <c r="N653" s="74">
        <f>[1]!'@CTA[8-2-7-3-4-3471,F,6,#6]'</f>
        <v>467.73</v>
      </c>
      <c r="O653" s="66">
        <f t="shared" si="46"/>
        <v>1532.27</v>
      </c>
    </row>
    <row r="654" spans="1:15" ht="48" x14ac:dyDescent="0.2">
      <c r="A654" s="67" t="s">
        <v>295</v>
      </c>
      <c r="B654" s="61" t="s">
        <v>152</v>
      </c>
      <c r="C654" s="61" t="s">
        <v>149</v>
      </c>
      <c r="D654" s="62" t="s">
        <v>296</v>
      </c>
      <c r="E654" s="71" t="s">
        <v>177</v>
      </c>
      <c r="F654" s="72">
        <v>3491</v>
      </c>
      <c r="G654" s="73" t="s">
        <v>226</v>
      </c>
      <c r="H654" s="74">
        <f>[1]!'@CTA[8-2-1-3-4-3491,F,6,#6]'</f>
        <v>600</v>
      </c>
      <c r="I654" s="74">
        <f>[1]!'@CTA[8-2-3-3-4-3491,F,6,#6]'</f>
        <v>0</v>
      </c>
      <c r="J654" s="75">
        <f>[1]!'@CTA[8-2-1-3-4-3491,F,6,#6]'+[1]!'@CTA[8-2-3-3-4-3491,F,6,#6]'</f>
        <v>600</v>
      </c>
      <c r="K654" s="76">
        <f>[1]!'@CTA[8-2-4-3-4-3491,J,6,#6]'</f>
        <v>166.23</v>
      </c>
      <c r="L654" s="76">
        <f>[1]!'@CTA[8-2-5-3-4-3491,J,6,#6]'</f>
        <v>166.23</v>
      </c>
      <c r="M654" s="76">
        <f>[1]!'@CTA[8-2-6-3-4-3491,J,6,#6]'</f>
        <v>166.23</v>
      </c>
      <c r="N654" s="74">
        <f>[1]!'@CTA[8-2-7-3-4-3491,F,6,#6]'</f>
        <v>166.22999999999942</v>
      </c>
      <c r="O654" s="66">
        <f t="shared" si="46"/>
        <v>433.77</v>
      </c>
    </row>
    <row r="655" spans="1:15" ht="48" x14ac:dyDescent="0.2">
      <c r="A655" s="67" t="s">
        <v>295</v>
      </c>
      <c r="B655" s="61" t="s">
        <v>152</v>
      </c>
      <c r="C655" s="61" t="s">
        <v>149</v>
      </c>
      <c r="D655" s="62" t="s">
        <v>296</v>
      </c>
      <c r="E655" s="71" t="s">
        <v>177</v>
      </c>
      <c r="F655" s="72">
        <v>3511</v>
      </c>
      <c r="G655" s="73" t="s">
        <v>227</v>
      </c>
      <c r="H655" s="74">
        <f>[1]!'@CTA[8-2-1-3-5-3511,F,6,#6]'</f>
        <v>0</v>
      </c>
      <c r="I655" s="74">
        <f>[1]!'@CTA[8-2-3-3-5-3511,F,6,#6]'</f>
        <v>0</v>
      </c>
      <c r="J655" s="75">
        <f>[1]!'@CTA[8-2-1-3-5-3511,F,6,#6]'+[1]!'@CTA[8-2-3-3-5-3511,F,6,#6]'</f>
        <v>0</v>
      </c>
      <c r="K655" s="76">
        <f>[1]!'@CTA[8-2-4-3-5-3511,J,6,#6]'</f>
        <v>0</v>
      </c>
      <c r="L655" s="76">
        <f>[1]!'@CTA[8-2-5-3-5-3511,J,6,#6]'</f>
        <v>0</v>
      </c>
      <c r="M655" s="76">
        <f>[1]!'@CTA[8-2-6-3-5-3511,J,6,#6]'</f>
        <v>0</v>
      </c>
      <c r="N655" s="74">
        <f>[1]!'@CTA[8-2-7-3-5-3511,F,6,#6]'</f>
        <v>0</v>
      </c>
      <c r="O655" s="66">
        <f t="shared" si="46"/>
        <v>0</v>
      </c>
    </row>
    <row r="656" spans="1:15" ht="48" x14ac:dyDescent="0.2">
      <c r="A656" s="67" t="s">
        <v>295</v>
      </c>
      <c r="B656" s="61" t="s">
        <v>152</v>
      </c>
      <c r="C656" s="61" t="s">
        <v>149</v>
      </c>
      <c r="D656" s="62" t="s">
        <v>296</v>
      </c>
      <c r="E656" s="71" t="s">
        <v>177</v>
      </c>
      <c r="F656" s="72">
        <v>3521</v>
      </c>
      <c r="G656" s="73" t="s">
        <v>228</v>
      </c>
      <c r="H656" s="74">
        <f>[1]!'@CTA[8-2-1-3-5-3521,F,6,#6]'</f>
        <v>0</v>
      </c>
      <c r="I656" s="74">
        <f>[1]!'@CTA[8-2-3-3-5-3521,F,6,#6]'</f>
        <v>0</v>
      </c>
      <c r="J656" s="75">
        <f>[1]!'@CTA[8-2-1-3-5-3521,F,6,#6]'+[1]!'@CTA[8-2-3-3-5-3521,F,6,#6]'</f>
        <v>0</v>
      </c>
      <c r="K656" s="76">
        <f>[1]!'@CTA[8-2-4-3-5-3521,J,6,#6]'</f>
        <v>0</v>
      </c>
      <c r="L656" s="76">
        <f>[1]!'@CTA[8-2-5-3-5-3521,J,6,#6]'</f>
        <v>0</v>
      </c>
      <c r="M656" s="76">
        <f>[1]!'@CTA[8-2-6-3-5-3521,J,6,#6]'</f>
        <v>0</v>
      </c>
      <c r="N656" s="74">
        <f>[1]!'@CTA[8-2-7-3-5-3521,F,6,#6]'</f>
        <v>0</v>
      </c>
      <c r="O656" s="66">
        <f t="shared" si="46"/>
        <v>0</v>
      </c>
    </row>
    <row r="657" spans="1:15" ht="48" x14ac:dyDescent="0.2">
      <c r="A657" s="67" t="s">
        <v>295</v>
      </c>
      <c r="B657" s="61" t="s">
        <v>152</v>
      </c>
      <c r="C657" s="61" t="s">
        <v>149</v>
      </c>
      <c r="D657" s="62" t="s">
        <v>296</v>
      </c>
      <c r="E657" s="71" t="s">
        <v>177</v>
      </c>
      <c r="F657" s="72">
        <v>3531</v>
      </c>
      <c r="G657" s="73" t="s">
        <v>229</v>
      </c>
      <c r="H657" s="74">
        <f>[1]!'@CTA[8-2-1-3-5-3531,F,6,#6]'</f>
        <v>0</v>
      </c>
      <c r="I657" s="74">
        <f>[1]!'@CTA[8-2-3-3-5-3531,F,6,#6]'</f>
        <v>0</v>
      </c>
      <c r="J657" s="75">
        <f>[1]!'@CTA[8-2-1-3-5-3531,F,6,#6]'+[1]!'@CTA[8-2-3-3-5-3531,F,6,#6]'</f>
        <v>0</v>
      </c>
      <c r="K657" s="76">
        <f>[1]!'@CTA[8-2-4-3-5-3531,J,6,#6]'</f>
        <v>0</v>
      </c>
      <c r="L657" s="76">
        <f>[1]!'@CTA[8-2-5-3-5-3531,J,6,#6]'</f>
        <v>0</v>
      </c>
      <c r="M657" s="76">
        <f>[1]!'@CTA[8-2-6-3-5-3531,J,6,#6]'</f>
        <v>0</v>
      </c>
      <c r="N657" s="74">
        <f>[1]!'@CTA[8-2-7-3-5-3531,F,6,#6]'</f>
        <v>0</v>
      </c>
      <c r="O657" s="66">
        <f t="shared" si="46"/>
        <v>0</v>
      </c>
    </row>
    <row r="658" spans="1:15" ht="48" x14ac:dyDescent="0.2">
      <c r="A658" s="67" t="s">
        <v>295</v>
      </c>
      <c r="B658" s="61" t="s">
        <v>152</v>
      </c>
      <c r="C658" s="61" t="s">
        <v>149</v>
      </c>
      <c r="D658" s="62" t="s">
        <v>296</v>
      </c>
      <c r="E658" s="71" t="s">
        <v>177</v>
      </c>
      <c r="F658" s="72">
        <v>3551</v>
      </c>
      <c r="G658" s="73" t="s">
        <v>230</v>
      </c>
      <c r="H658" s="74">
        <f>[1]!'@CTA[8-2-1-3-5-3551,F,6,#6]'</f>
        <v>0</v>
      </c>
      <c r="I658" s="74">
        <f>[1]!'@CTA[8-2-3-3-5-3551,F,6,#6]'</f>
        <v>0</v>
      </c>
      <c r="J658" s="75">
        <f>[1]!'@CTA[8-2-1-3-5-3551,F,6,#6]'+[1]!'@CTA[8-2-3-3-5-3551,F,6,#6]'</f>
        <v>0</v>
      </c>
      <c r="K658" s="76">
        <f>[1]!'@CTA[8-2-4-3-5-3551,J,6,#6]'</f>
        <v>0</v>
      </c>
      <c r="L658" s="76">
        <f>[1]!'@CTA[8-2-5-3-5-3551,J,6,#6]'</f>
        <v>0</v>
      </c>
      <c r="M658" s="76">
        <f>[1]!'@CTA[8-2-6-3-5-3551,J,6,#6]'</f>
        <v>0</v>
      </c>
      <c r="N658" s="74">
        <f>[1]!'@CTA[8-2-7-3-5-3551,F,6,#6]'</f>
        <v>0</v>
      </c>
      <c r="O658" s="66">
        <f t="shared" si="46"/>
        <v>0</v>
      </c>
    </row>
    <row r="659" spans="1:15" ht="48" x14ac:dyDescent="0.2">
      <c r="A659" s="67" t="s">
        <v>295</v>
      </c>
      <c r="B659" s="61" t="s">
        <v>152</v>
      </c>
      <c r="C659" s="61" t="s">
        <v>149</v>
      </c>
      <c r="D659" s="62" t="s">
        <v>296</v>
      </c>
      <c r="E659" s="71" t="s">
        <v>177</v>
      </c>
      <c r="F659" s="72">
        <v>3571</v>
      </c>
      <c r="G659" s="73" t="s">
        <v>231</v>
      </c>
      <c r="H659" s="74">
        <f>[1]!'@CTA[8-2-1-3-5-3571,F,6,#6]'</f>
        <v>1500</v>
      </c>
      <c r="I659" s="74">
        <f>[1]!'@CTA[8-2-3-3-5-3571,F,6,#6]'</f>
        <v>0</v>
      </c>
      <c r="J659" s="75">
        <f>[1]!'@CTA[8-2-1-3-5-3571,F,6,#6]'+[1]!'@CTA[8-2-3-3-5-3571,F,6,#6]'</f>
        <v>1500</v>
      </c>
      <c r="K659" s="76">
        <f>[1]!'@CTA[8-2-4-3-5-3571,J,6,#6]'</f>
        <v>0</v>
      </c>
      <c r="L659" s="76">
        <f>[1]!'@CTA[8-2-5-3-5-3571,J,6,#6]'</f>
        <v>0</v>
      </c>
      <c r="M659" s="76">
        <f>[1]!'@CTA[8-2-6-3-5-3571,J,6,#6]'</f>
        <v>0</v>
      </c>
      <c r="N659" s="74">
        <f>[1]!'@CTA[8-2-7-3-5-3571,F,6,#6]'</f>
        <v>0</v>
      </c>
      <c r="O659" s="66">
        <f t="shared" si="46"/>
        <v>1500</v>
      </c>
    </row>
    <row r="660" spans="1:15" ht="48" x14ac:dyDescent="0.2">
      <c r="A660" s="67" t="s">
        <v>295</v>
      </c>
      <c r="B660" s="61" t="s">
        <v>152</v>
      </c>
      <c r="C660" s="61" t="s">
        <v>149</v>
      </c>
      <c r="D660" s="62" t="s">
        <v>296</v>
      </c>
      <c r="E660" s="71" t="s">
        <v>177</v>
      </c>
      <c r="F660" s="72">
        <v>3572</v>
      </c>
      <c r="G660" s="73" t="s">
        <v>232</v>
      </c>
      <c r="H660" s="74">
        <f>[1]!'@CTA[8-2-1-3-5-3572,F,6,#6]'</f>
        <v>0</v>
      </c>
      <c r="I660" s="74">
        <f>[1]!'@CTA[8-2-3-3-5-3572,F,6,#6]'</f>
        <v>0</v>
      </c>
      <c r="J660" s="75">
        <f>[1]!'@CTA[8-2-1-3-5-3572,F,6,#6]'+[1]!'@CTA[8-2-3-3-5-3572,F,6,#6]'</f>
        <v>0</v>
      </c>
      <c r="K660" s="76">
        <f>[1]!'@CTA[8-2-4-3-5-3572,J,6,#6]'</f>
        <v>0</v>
      </c>
      <c r="L660" s="76">
        <f>[1]!'@CTA[8-2-5-3-5-3572,J,6,#6]'</f>
        <v>0</v>
      </c>
      <c r="M660" s="76">
        <f>[1]!'@CTA[8-2-6-3-5-3572,J,6,#6]'</f>
        <v>0</v>
      </c>
      <c r="N660" s="74">
        <f>[1]!'@CTA[8-2-7-3-5-3572,F,6,#6]'</f>
        <v>0</v>
      </c>
      <c r="O660" s="66">
        <f t="shared" si="46"/>
        <v>0</v>
      </c>
    </row>
    <row r="661" spans="1:15" ht="48" x14ac:dyDescent="0.2">
      <c r="A661" s="67" t="s">
        <v>295</v>
      </c>
      <c r="B661" s="61" t="s">
        <v>152</v>
      </c>
      <c r="C661" s="61" t="s">
        <v>149</v>
      </c>
      <c r="D661" s="62" t="s">
        <v>296</v>
      </c>
      <c r="E661" s="71" t="s">
        <v>177</v>
      </c>
      <c r="F661" s="72">
        <v>3573</v>
      </c>
      <c r="G661" s="73" t="s">
        <v>233</v>
      </c>
      <c r="H661" s="74">
        <f>[1]!'@CTA[8-2-1-3-5-3573,F,6,#6]'</f>
        <v>0</v>
      </c>
      <c r="I661" s="74">
        <f>[1]!'@CTA[8-2-3-3-5-3573,F,6,#6]'</f>
        <v>0</v>
      </c>
      <c r="J661" s="75">
        <f>[1]!'@CTA[8-2-1-3-5-3573,F,6,#6]'+[1]!'@CTA[8-2-3-3-5-3573,F,6,#6]'</f>
        <v>0</v>
      </c>
      <c r="K661" s="76">
        <f>[1]!'@CTA[8-2-4-3-5-3573,J,6,#6]'</f>
        <v>0</v>
      </c>
      <c r="L661" s="76">
        <f>[1]!'@CTA[8-2-5-3-5-3573,J,6,#6]'</f>
        <v>0</v>
      </c>
      <c r="M661" s="76">
        <f>[1]!'@CTA[8-2-6-3-5-3573,J,6,#6]'</f>
        <v>0</v>
      </c>
      <c r="N661" s="74">
        <f>[1]!'@CTA[8-2-7-3-5-3573,F,6,#6]'</f>
        <v>0</v>
      </c>
      <c r="O661" s="66">
        <f t="shared" si="46"/>
        <v>0</v>
      </c>
    </row>
    <row r="662" spans="1:15" ht="48" x14ac:dyDescent="0.2">
      <c r="A662" s="67" t="s">
        <v>295</v>
      </c>
      <c r="B662" s="61" t="s">
        <v>152</v>
      </c>
      <c r="C662" s="61" t="s">
        <v>149</v>
      </c>
      <c r="D662" s="62" t="s">
        <v>296</v>
      </c>
      <c r="E662" s="71" t="s">
        <v>177</v>
      </c>
      <c r="F662" s="72">
        <v>3574</v>
      </c>
      <c r="G662" s="73" t="s">
        <v>234</v>
      </c>
      <c r="H662" s="74">
        <f>[1]!'@CTA[8-2-1-3-5-3574,F,6,#6]'</f>
        <v>0</v>
      </c>
      <c r="I662" s="74">
        <f>[1]!'@CTA[8-2-3-3-5-3574,F,6,#6]'</f>
        <v>0</v>
      </c>
      <c r="J662" s="75">
        <f>[1]!'@CTA[8-2-1-3-5-3574,F,6,#6]'+[1]!'@CTA[8-2-3-3-5-3574,F,6,#6]'</f>
        <v>0</v>
      </c>
      <c r="K662" s="76">
        <f>[1]!'@CTA[8-2-4-3-5-3574,J,6,#6]'</f>
        <v>0</v>
      </c>
      <c r="L662" s="76">
        <f>[1]!'@CTA[8-2-5-3-5-3574,J,6,#6]'</f>
        <v>0</v>
      </c>
      <c r="M662" s="76">
        <f>[1]!'@CTA[8-2-6-3-5-3574,J,6,#6]'</f>
        <v>0</v>
      </c>
      <c r="N662" s="74">
        <f>[1]!'@CTA[8-2-7-3-5-3574,F,6,#6]'</f>
        <v>0</v>
      </c>
      <c r="O662" s="66">
        <f t="shared" si="46"/>
        <v>0</v>
      </c>
    </row>
    <row r="663" spans="1:15" ht="48" x14ac:dyDescent="0.2">
      <c r="A663" s="67" t="s">
        <v>295</v>
      </c>
      <c r="B663" s="61" t="s">
        <v>152</v>
      </c>
      <c r="C663" s="61" t="s">
        <v>149</v>
      </c>
      <c r="D663" s="62" t="s">
        <v>296</v>
      </c>
      <c r="E663" s="71" t="s">
        <v>177</v>
      </c>
      <c r="F663" s="72">
        <v>3575</v>
      </c>
      <c r="G663" s="73" t="s">
        <v>235</v>
      </c>
      <c r="H663" s="74">
        <f>[1]!'@CTA[8-2-1-3-5-3575,F,6,#6]'</f>
        <v>0</v>
      </c>
      <c r="I663" s="74">
        <f>[1]!'@CTA[8-2-3-3-5-3575,F,6,#6]'</f>
        <v>0</v>
      </c>
      <c r="J663" s="75">
        <f>[1]!'@CTA[8-2-1-3-5-3575,F,6,#6]'+[1]!'@CTA[8-2-3-3-5-3575,F,6,#6]'</f>
        <v>0</v>
      </c>
      <c r="K663" s="76">
        <f>[1]!'@CTA[8-2-4-3-5-3575,J,6,#6]'</f>
        <v>0</v>
      </c>
      <c r="L663" s="76">
        <f>[1]!'@CTA[8-2-5-3-5-3575,J,6,#6]'</f>
        <v>0</v>
      </c>
      <c r="M663" s="76">
        <f>[1]!'@CTA[8-2-6-3-5-3575,J,6,#6]'</f>
        <v>0</v>
      </c>
      <c r="N663" s="74">
        <f>[1]!'@CTA[8-2-7-3-5-3575,F,6,#6]'</f>
        <v>0</v>
      </c>
      <c r="O663" s="66">
        <f t="shared" si="46"/>
        <v>0</v>
      </c>
    </row>
    <row r="664" spans="1:15" ht="48" x14ac:dyDescent="0.2">
      <c r="A664" s="67" t="s">
        <v>295</v>
      </c>
      <c r="B664" s="61" t="s">
        <v>152</v>
      </c>
      <c r="C664" s="61" t="s">
        <v>149</v>
      </c>
      <c r="D664" s="62" t="s">
        <v>296</v>
      </c>
      <c r="E664" s="71" t="s">
        <v>177</v>
      </c>
      <c r="F664" s="72">
        <v>3576</v>
      </c>
      <c r="G664" s="73" t="s">
        <v>236</v>
      </c>
      <c r="H664" s="74">
        <f>[1]!'@CTA[8-2-1-3-5-3576,F,6,#6]'</f>
        <v>0</v>
      </c>
      <c r="I664" s="74">
        <f>[1]!'@CTA[8-2-3-3-5-3576,F,6,#6]'</f>
        <v>0</v>
      </c>
      <c r="J664" s="75">
        <f>[1]!'@CTA[8-2-1-3-5-3576,F,6,#6]'+[1]!'@CTA[8-2-3-3-5-3576,F,6,#6]'</f>
        <v>0</v>
      </c>
      <c r="K664" s="76">
        <f>[1]!'@CTA[8-2-4-3-5-3576,J,6,#6]'</f>
        <v>0</v>
      </c>
      <c r="L664" s="76">
        <f>[1]!'@CTA[8-2-5-3-5-3576,J,6,#6]'</f>
        <v>0</v>
      </c>
      <c r="M664" s="76">
        <f>[1]!'@CTA[8-2-6-3-5-3576,J,6,#6]'</f>
        <v>0</v>
      </c>
      <c r="N664" s="74">
        <f>[1]!'@CTA[8-2-7-3-5-3576,F,6,#6]'</f>
        <v>0</v>
      </c>
      <c r="O664" s="66">
        <f t="shared" si="46"/>
        <v>0</v>
      </c>
    </row>
    <row r="665" spans="1:15" ht="48" x14ac:dyDescent="0.2">
      <c r="A665" s="67" t="s">
        <v>295</v>
      </c>
      <c r="B665" s="61" t="s">
        <v>152</v>
      </c>
      <c r="C665" s="61" t="s">
        <v>149</v>
      </c>
      <c r="D665" s="62" t="s">
        <v>296</v>
      </c>
      <c r="E665" s="71" t="s">
        <v>177</v>
      </c>
      <c r="F665" s="72">
        <v>3577</v>
      </c>
      <c r="G665" s="73" t="s">
        <v>237</v>
      </c>
      <c r="H665" s="74">
        <f>[1]!'@CTA[8-2-1-3-5-3577,F,6,#6]'</f>
        <v>0</v>
      </c>
      <c r="I665" s="74">
        <f>[1]!'@CTA[8-2-3-3-5-3577,F,6,#6]'</f>
        <v>0</v>
      </c>
      <c r="J665" s="75">
        <f>[1]!'@CTA[8-2-1-3-5-3577,F,6,#6]'+[1]!'@CTA[8-2-3-3-5-3577,F,6,#6]'</f>
        <v>0</v>
      </c>
      <c r="K665" s="76">
        <f>[1]!'@CTA[8-2-4-3-5-3577,J,6,#6]'</f>
        <v>0</v>
      </c>
      <c r="L665" s="76">
        <f>[1]!'@CTA[8-2-5-3-5-3577,J,6,#6]'</f>
        <v>0</v>
      </c>
      <c r="M665" s="76">
        <f>[1]!'@CTA[8-2-6-3-5-3577,J,6,#6]'</f>
        <v>0</v>
      </c>
      <c r="N665" s="74">
        <f>[1]!'@CTA[8-2-7-3-5-3577,F,6,#6]'</f>
        <v>0</v>
      </c>
      <c r="O665" s="66">
        <f t="shared" si="46"/>
        <v>0</v>
      </c>
    </row>
    <row r="666" spans="1:15" ht="48" x14ac:dyDescent="0.2">
      <c r="A666" s="67" t="s">
        <v>295</v>
      </c>
      <c r="B666" s="61" t="s">
        <v>152</v>
      </c>
      <c r="C666" s="61" t="s">
        <v>149</v>
      </c>
      <c r="D666" s="62" t="s">
        <v>296</v>
      </c>
      <c r="E666" s="71" t="s">
        <v>177</v>
      </c>
      <c r="F666" s="72">
        <v>3611</v>
      </c>
      <c r="G666" s="73" t="s">
        <v>238</v>
      </c>
      <c r="H666" s="74">
        <f>[1]!'@CTA[8-2-1-3-6-3611,F,6,#6]'</f>
        <v>0</v>
      </c>
      <c r="I666" s="74">
        <f>[1]!'@CTA[8-2-3-3-6-3611,F,6,#6]'</f>
        <v>0</v>
      </c>
      <c r="J666" s="75">
        <f>[1]!'@CTA[8-2-1-3-6-3611,F,6,#6]'+[1]!'@CTA[8-2-3-3-6-3611,F,6,#6]'</f>
        <v>0</v>
      </c>
      <c r="K666" s="76">
        <f>[1]!'@CTA[8-2-4-3-6-3611,J,6,#6]'</f>
        <v>0</v>
      </c>
      <c r="L666" s="76">
        <f>[1]!'@CTA[8-2-5-3-6-3611,J,6,#6]'</f>
        <v>0</v>
      </c>
      <c r="M666" s="76">
        <f>[1]!'@CTA[8-2-6-3-6-3611,J,6,#6]'</f>
        <v>0</v>
      </c>
      <c r="N666" s="74">
        <f>[1]!'@CTA[8-2-7-3-6-3611,F,6,#6]'</f>
        <v>0</v>
      </c>
      <c r="O666" s="66">
        <f t="shared" si="46"/>
        <v>0</v>
      </c>
    </row>
    <row r="667" spans="1:15" ht="48" x14ac:dyDescent="0.2">
      <c r="A667" s="67" t="s">
        <v>295</v>
      </c>
      <c r="B667" s="61" t="s">
        <v>152</v>
      </c>
      <c r="C667" s="61" t="s">
        <v>149</v>
      </c>
      <c r="D667" s="62" t="s">
        <v>296</v>
      </c>
      <c r="E667" s="71" t="s">
        <v>177</v>
      </c>
      <c r="F667" s="72">
        <v>3721</v>
      </c>
      <c r="G667" s="73" t="s">
        <v>239</v>
      </c>
      <c r="H667" s="74">
        <f>[1]!'@CTA[8-2-1-3-7-3721,F,6,#6]'</f>
        <v>900</v>
      </c>
      <c r="I667" s="74">
        <f>[1]!'@CTA[8-2-3-3-7-3721,F,6,#6]'</f>
        <v>0</v>
      </c>
      <c r="J667" s="75">
        <f>[1]!'@CTA[8-2-1-3-7-3721,F,6,#6]'+[1]!'@CTA[8-2-3-3-7-3721,F,6,#6]'</f>
        <v>900</v>
      </c>
      <c r="K667" s="76">
        <f>[1]!'@CTA[8-2-4-3-7-3721,J,6,#6]'</f>
        <v>0</v>
      </c>
      <c r="L667" s="76">
        <f>[1]!'@CTA[8-2-5-3-7-3721,J,6,#6]'</f>
        <v>0</v>
      </c>
      <c r="M667" s="76">
        <f>[1]!'@CTA[8-2-6-3-7-3721,J,6,#6]'</f>
        <v>0</v>
      </c>
      <c r="N667" s="74">
        <f>[1]!'@CTA[8-2-7-3-7-3721,F,6,#6]'</f>
        <v>0</v>
      </c>
      <c r="O667" s="66">
        <f t="shared" si="46"/>
        <v>900</v>
      </c>
    </row>
    <row r="668" spans="1:15" ht="48" x14ac:dyDescent="0.2">
      <c r="A668" s="67" t="s">
        <v>295</v>
      </c>
      <c r="B668" s="61" t="s">
        <v>152</v>
      </c>
      <c r="C668" s="61" t="s">
        <v>149</v>
      </c>
      <c r="D668" s="62" t="s">
        <v>296</v>
      </c>
      <c r="E668" s="71" t="s">
        <v>177</v>
      </c>
      <c r="F668" s="72">
        <v>3722</v>
      </c>
      <c r="G668" s="73" t="s">
        <v>240</v>
      </c>
      <c r="H668" s="74">
        <f>[1]!'@CTA[8-2-1-3-7-3722,F,6,#6]'</f>
        <v>0</v>
      </c>
      <c r="I668" s="74">
        <f>[1]!'@CTA[8-2-3-3-7-3722,F,6,#6]'</f>
        <v>0</v>
      </c>
      <c r="J668" s="75">
        <f>[1]!'@CTA[8-2-1-3-7-3722,F,6,#6]'+[1]!'@CTA[8-2-3-3-7-3722,F,6,#6]'</f>
        <v>0</v>
      </c>
      <c r="K668" s="76">
        <f>[1]!'@CTA[8-2-4-3-7-3722,J,6,#6]'</f>
        <v>0</v>
      </c>
      <c r="L668" s="76">
        <f>[1]!'@CTA[8-2-5-3-7-3722,J,6,#6]'</f>
        <v>0</v>
      </c>
      <c r="M668" s="76">
        <f>[1]!'@CTA[8-2-6-3-7-3722,J,6,#6]'</f>
        <v>0</v>
      </c>
      <c r="N668" s="74">
        <f>[1]!'@CTA[8-2-7-3-7-3722,F,6,#6]'</f>
        <v>0</v>
      </c>
      <c r="O668" s="66">
        <f t="shared" si="46"/>
        <v>0</v>
      </c>
    </row>
    <row r="669" spans="1:15" ht="48" x14ac:dyDescent="0.2">
      <c r="A669" s="67" t="s">
        <v>295</v>
      </c>
      <c r="B669" s="61" t="s">
        <v>152</v>
      </c>
      <c r="C669" s="61" t="s">
        <v>149</v>
      </c>
      <c r="D669" s="62" t="s">
        <v>296</v>
      </c>
      <c r="E669" s="71" t="s">
        <v>177</v>
      </c>
      <c r="F669" s="72">
        <v>3751</v>
      </c>
      <c r="G669" s="73" t="s">
        <v>241</v>
      </c>
      <c r="H669" s="74">
        <f>[1]!'@CTA[8-2-1-3-7-3751,F,6,#6]'</f>
        <v>1800</v>
      </c>
      <c r="I669" s="74">
        <f>[1]!'@CTA[8-2-3-3-7-3751,F,6,#6]'</f>
        <v>0</v>
      </c>
      <c r="J669" s="75">
        <f>[1]!'@CTA[8-2-1-3-7-3751,F,6,#6]'+[1]!'@CTA[8-2-3-3-7-3751,F,6,#6]'</f>
        <v>1800</v>
      </c>
      <c r="K669" s="76">
        <f>[1]!'@CTA[8-2-4-3-7-3751,J,6,#6]'</f>
        <v>0</v>
      </c>
      <c r="L669" s="76">
        <f>[1]!'@CTA[8-2-5-3-7-3751,J,6,#6]'</f>
        <v>0</v>
      </c>
      <c r="M669" s="76">
        <f>[1]!'@CTA[8-2-6-3-7-3751,J,6,#6]'</f>
        <v>0</v>
      </c>
      <c r="N669" s="74">
        <f>[1]!'@CTA[8-2-7-3-7-3751,F,6,#6]'</f>
        <v>0</v>
      </c>
      <c r="O669" s="66">
        <f t="shared" si="46"/>
        <v>1800</v>
      </c>
    </row>
    <row r="670" spans="1:15" ht="48" x14ac:dyDescent="0.2">
      <c r="A670" s="67" t="s">
        <v>295</v>
      </c>
      <c r="B670" s="61" t="s">
        <v>152</v>
      </c>
      <c r="C670" s="61" t="s">
        <v>149</v>
      </c>
      <c r="D670" s="62" t="s">
        <v>296</v>
      </c>
      <c r="E670" s="71" t="s">
        <v>177</v>
      </c>
      <c r="F670" s="72">
        <v>3821</v>
      </c>
      <c r="G670" s="73" t="s">
        <v>242</v>
      </c>
      <c r="H670" s="74">
        <f>[1]!'@CTA[8-2-1-3-8-3821,F,6,#6]'</f>
        <v>0</v>
      </c>
      <c r="I670" s="74">
        <f>[1]!'@CTA[8-2-3-3-8-3821,F,6,#6]'</f>
        <v>0</v>
      </c>
      <c r="J670" s="75">
        <f>[1]!'@CTA[8-2-1-3-8-3821,F,6,#6]'+[1]!'@CTA[8-2-3-3-8-3821,F,6,#6]'</f>
        <v>0</v>
      </c>
      <c r="K670" s="76">
        <f>[1]!'@CTA[8-2-4-3-8-3821,J,6,#6]'</f>
        <v>0</v>
      </c>
      <c r="L670" s="76">
        <f>[1]!'@CTA[8-2-5-3-8-3821,J,6,#6]'</f>
        <v>0</v>
      </c>
      <c r="M670" s="76">
        <f>[1]!'@CTA[8-2-6-3-8-3821,J,6,#6]'</f>
        <v>0</v>
      </c>
      <c r="N670" s="74">
        <f>[1]!'@CTA[8-2-7-3-8-3821,F,6,#6]'</f>
        <v>0</v>
      </c>
      <c r="O670" s="66">
        <f t="shared" si="46"/>
        <v>0</v>
      </c>
    </row>
    <row r="671" spans="1:15" ht="48" x14ac:dyDescent="0.2">
      <c r="A671" s="67" t="s">
        <v>295</v>
      </c>
      <c r="B671" s="61" t="s">
        <v>152</v>
      </c>
      <c r="C671" s="61" t="s">
        <v>149</v>
      </c>
      <c r="D671" s="62" t="s">
        <v>296</v>
      </c>
      <c r="E671" s="71" t="s">
        <v>177</v>
      </c>
      <c r="F671" s="72">
        <v>3822</v>
      </c>
      <c r="G671" s="73" t="s">
        <v>243</v>
      </c>
      <c r="H671" s="74">
        <f>[1]!'@CTA[8-2-1-3-8-3822,F,6,#6]'</f>
        <v>0</v>
      </c>
      <c r="I671" s="74">
        <f>[1]!'@CTA[8-2-3-3-8-3822,F,6,#6]'</f>
        <v>0</v>
      </c>
      <c r="J671" s="75">
        <f>[1]!'@CTA[8-2-1-3-8-3822,F,6,#6]'+[1]!'@CTA[8-2-3-3-8-3822,F,6,#6]'</f>
        <v>0</v>
      </c>
      <c r="K671" s="76">
        <f>[1]!'@CTA[8-2-4-3-8-3822,J,6,#6]'</f>
        <v>0</v>
      </c>
      <c r="L671" s="76">
        <f>[1]!'@CTA[8-2-5-3-8-3822,J,6,#6]'</f>
        <v>0</v>
      </c>
      <c r="M671" s="76">
        <f>[1]!'@CTA[8-2-6-3-8-3822,J,6,#6]'</f>
        <v>0</v>
      </c>
      <c r="N671" s="74">
        <f>[1]!'@CTA[8-2-7-3-8-3822,F,6,#6]'</f>
        <v>0</v>
      </c>
      <c r="O671" s="66">
        <f t="shared" si="46"/>
        <v>0</v>
      </c>
    </row>
    <row r="672" spans="1:15" ht="48" x14ac:dyDescent="0.2">
      <c r="A672" s="67" t="s">
        <v>295</v>
      </c>
      <c r="B672" s="61" t="s">
        <v>152</v>
      </c>
      <c r="C672" s="61" t="s">
        <v>149</v>
      </c>
      <c r="D672" s="62" t="s">
        <v>296</v>
      </c>
      <c r="E672" s="71" t="s">
        <v>177</v>
      </c>
      <c r="F672" s="72">
        <v>3831</v>
      </c>
      <c r="G672" s="73" t="s">
        <v>244</v>
      </c>
      <c r="H672" s="74">
        <f>[1]!'@CTA[8-2-1-3-8-3831,F,6,#6]'</f>
        <v>0</v>
      </c>
      <c r="I672" s="74">
        <f>[1]!'@CTA[8-2-3-3-8-3831,F,6,#6]'</f>
        <v>0</v>
      </c>
      <c r="J672" s="75">
        <f>[1]!'@CTA[8-2-1-3-8-3831,F,6,#6]'+[1]!'@CTA[8-2-3-3-8-3831,F,6,#6]'</f>
        <v>0</v>
      </c>
      <c r="K672" s="76">
        <f>[1]!'@CTA[8-2-4-3-8-3831,J,6,#6]'</f>
        <v>0</v>
      </c>
      <c r="L672" s="76">
        <f>[1]!'@CTA[8-2-5-3-8-3831,J,6,#6]'</f>
        <v>0</v>
      </c>
      <c r="M672" s="76">
        <f>[1]!'@CTA[8-2-6-3-8-3831,J,6,#6]'</f>
        <v>0</v>
      </c>
      <c r="N672" s="74">
        <f>[1]!'@CTA[8-2-7-3-8-3831,F,6,#6]'</f>
        <v>0</v>
      </c>
      <c r="O672" s="66">
        <f t="shared" si="46"/>
        <v>0</v>
      </c>
    </row>
    <row r="673" spans="1:15" ht="48" x14ac:dyDescent="0.2">
      <c r="A673" s="67" t="s">
        <v>295</v>
      </c>
      <c r="B673" s="61" t="s">
        <v>152</v>
      </c>
      <c r="C673" s="61" t="s">
        <v>149</v>
      </c>
      <c r="D673" s="62" t="s">
        <v>296</v>
      </c>
      <c r="E673" s="71" t="s">
        <v>177</v>
      </c>
      <c r="F673" s="72">
        <v>3851</v>
      </c>
      <c r="G673" s="73" t="s">
        <v>245</v>
      </c>
      <c r="H673" s="74">
        <f>[1]!'@CTA[8-2-1-3-8-3851,F,6,#6]'</f>
        <v>0</v>
      </c>
      <c r="I673" s="74">
        <f>[1]!'@CTA[8-2-3-3-8-3851,F,6,#6]'</f>
        <v>0</v>
      </c>
      <c r="J673" s="75">
        <f>[1]!'@CTA[8-2-1-3-8-3851,F,6,#6]'+[1]!'@CTA[8-2-3-3-8-3851,F,6,#6]'</f>
        <v>0</v>
      </c>
      <c r="K673" s="76">
        <f>[1]!'@CTA[8-2-4-3-8-3851,J,6,#6]'</f>
        <v>0</v>
      </c>
      <c r="L673" s="76">
        <f>[1]!'@CTA[8-2-5-3-8-3851,J,6,#6]'</f>
        <v>0</v>
      </c>
      <c r="M673" s="76">
        <f>[1]!'@CTA[8-2-6-3-8-3851,J,6,#6]'</f>
        <v>0</v>
      </c>
      <c r="N673" s="74">
        <f>[1]!'@CTA[8-2-7-3-8-3851,F,6,#6]'</f>
        <v>0</v>
      </c>
      <c r="O673" s="66">
        <f t="shared" si="46"/>
        <v>0</v>
      </c>
    </row>
    <row r="674" spans="1:15" ht="48" x14ac:dyDescent="0.2">
      <c r="A674" s="67" t="s">
        <v>295</v>
      </c>
      <c r="B674" s="61" t="s">
        <v>152</v>
      </c>
      <c r="C674" s="61" t="s">
        <v>149</v>
      </c>
      <c r="D674" s="62" t="s">
        <v>296</v>
      </c>
      <c r="E674" s="71" t="s">
        <v>177</v>
      </c>
      <c r="F674" s="72">
        <v>3921</v>
      </c>
      <c r="G674" s="73" t="s">
        <v>246</v>
      </c>
      <c r="H674" s="74">
        <f>[1]!'@CTA[8-2-1-3-9-3921,F,6,#6]'</f>
        <v>0</v>
      </c>
      <c r="I674" s="74">
        <f>[1]!'@CTA[8-2-3-3-9-3921,F,6,#6]'</f>
        <v>0</v>
      </c>
      <c r="J674" s="75">
        <f>[1]!'@CTA[8-2-1-3-9-3921,F,6,#6]'+[1]!'@CTA[8-2-3-3-9-3921,F,6,#6]'</f>
        <v>0</v>
      </c>
      <c r="K674" s="76">
        <f>[1]!'@CTA[8-2-4-3-9-3921,J,6,#6]'</f>
        <v>0</v>
      </c>
      <c r="L674" s="76">
        <f>[1]!'@CTA[8-2-5-3-9-3921,J,6,#6]'</f>
        <v>0</v>
      </c>
      <c r="M674" s="76">
        <f>[1]!'@CTA[8-2-6-3-9-3921,J,6,#6]'</f>
        <v>0</v>
      </c>
      <c r="N674" s="74">
        <f>[1]!'@CTA[8-2-7-3-9-3921,F,6,#6]'</f>
        <v>0</v>
      </c>
      <c r="O674" s="66">
        <f t="shared" si="46"/>
        <v>0</v>
      </c>
    </row>
    <row r="675" spans="1:15" ht="48" x14ac:dyDescent="0.2">
      <c r="A675" s="67" t="s">
        <v>295</v>
      </c>
      <c r="B675" s="61" t="s">
        <v>152</v>
      </c>
      <c r="C675" s="61" t="s">
        <v>149</v>
      </c>
      <c r="D675" s="62" t="s">
        <v>296</v>
      </c>
      <c r="E675" s="71" t="s">
        <v>177</v>
      </c>
      <c r="F675" s="72">
        <v>3922</v>
      </c>
      <c r="G675" s="73" t="s">
        <v>247</v>
      </c>
      <c r="H675" s="74">
        <f>[1]!'@CTA[8-2-1-3-9-3922,F,6,#6]'</f>
        <v>0</v>
      </c>
      <c r="I675" s="74">
        <f>[1]!'@CTA[8-2-3-3-9-3922,F,6,#6]'</f>
        <v>0</v>
      </c>
      <c r="J675" s="75">
        <f>[1]!'@CTA[8-2-1-3-9-3922,F,6,#6]'+[1]!'@CTA[8-2-3-3-9-3922,F,6,#6]'</f>
        <v>0</v>
      </c>
      <c r="K675" s="76">
        <f>[1]!'@CTA[8-2-4-3-9-3922,J,6,#6]'</f>
        <v>0</v>
      </c>
      <c r="L675" s="76">
        <f>[1]!'@CTA[8-2-5-3-9-3922,J,6,#6]'</f>
        <v>0</v>
      </c>
      <c r="M675" s="76">
        <f>[1]!'@CTA[8-2-6-3-9-3922,J,6,#6]'</f>
        <v>0</v>
      </c>
      <c r="N675" s="74">
        <f>[1]!'@CTA[8-2-7-3-9-3922,F,6,#6]'</f>
        <v>0</v>
      </c>
      <c r="O675" s="66">
        <f t="shared" si="46"/>
        <v>0</v>
      </c>
    </row>
    <row r="676" spans="1:15" ht="48" x14ac:dyDescent="0.2">
      <c r="A676" s="67" t="s">
        <v>295</v>
      </c>
      <c r="B676" s="61" t="s">
        <v>152</v>
      </c>
      <c r="C676" s="61" t="s">
        <v>149</v>
      </c>
      <c r="D676" s="62" t="s">
        <v>296</v>
      </c>
      <c r="E676" s="71" t="s">
        <v>177</v>
      </c>
      <c r="F676" s="72">
        <v>3923</v>
      </c>
      <c r="G676" s="73" t="s">
        <v>248</v>
      </c>
      <c r="H676" s="74">
        <f>[1]!'@CTA[8-2-1-3-9-3923,F,6,#6]'</f>
        <v>0</v>
      </c>
      <c r="I676" s="74">
        <f>[1]!'@CTA[8-2-3-3-9-3923,F,6,#6]'</f>
        <v>0</v>
      </c>
      <c r="J676" s="75">
        <f>[1]!'@CTA[8-2-1-3-9-3923,F,6,#6]'+[1]!'@CTA[8-2-3-3-9-3923,F,6,#6]'</f>
        <v>0</v>
      </c>
      <c r="K676" s="76">
        <f>[1]!'@CTA[8-2-4-3-9-3923,J,6,#6]'</f>
        <v>0</v>
      </c>
      <c r="L676" s="76">
        <f>[1]!'@CTA[8-2-5-3-9-3923,J,6,#6]'</f>
        <v>0</v>
      </c>
      <c r="M676" s="76">
        <f>[1]!'@CTA[8-2-6-3-9-3923,J,6,#6]'</f>
        <v>0</v>
      </c>
      <c r="N676" s="74">
        <f>[1]!'@CTA[8-2-7-3-9-3923,F,6,#6]'</f>
        <v>0</v>
      </c>
      <c r="O676" s="66">
        <f t="shared" si="46"/>
        <v>0</v>
      </c>
    </row>
    <row r="677" spans="1:15" ht="48" x14ac:dyDescent="0.2">
      <c r="A677" s="67" t="s">
        <v>295</v>
      </c>
      <c r="B677" s="61" t="s">
        <v>152</v>
      </c>
      <c r="C677" s="61" t="s">
        <v>149</v>
      </c>
      <c r="D677" s="62" t="s">
        <v>296</v>
      </c>
      <c r="E677" s="71" t="s">
        <v>177</v>
      </c>
      <c r="F677" s="72">
        <v>3924</v>
      </c>
      <c r="G677" s="73" t="s">
        <v>249</v>
      </c>
      <c r="H677" s="74">
        <f>[1]!'@CTA[8-2-1-3-9-3924,F,6,#6]'</f>
        <v>0</v>
      </c>
      <c r="I677" s="74">
        <f>[1]!'@CTA[8-2-3-3-9-3924,F,6,#6]'</f>
        <v>0</v>
      </c>
      <c r="J677" s="75">
        <f>[1]!'@CTA[8-2-1-3-9-3924,F,6,#6]'+[1]!'@CTA[8-2-3-3-9-3924,F,6,#6]'</f>
        <v>0</v>
      </c>
      <c r="K677" s="76">
        <f>[1]!'@CTA[8-2-4-3-9-3924,J,6,#6]'</f>
        <v>0</v>
      </c>
      <c r="L677" s="76">
        <f>[1]!'@CTA[8-2-5-3-9-3924,J,6,#6]'</f>
        <v>0</v>
      </c>
      <c r="M677" s="76">
        <f>[1]!'@CTA[8-2-6-3-9-3924,J,6,#6]'</f>
        <v>0</v>
      </c>
      <c r="N677" s="74">
        <f>[1]!'@CTA[8-2-7-3-9-3924,F,6,#6]'</f>
        <v>0</v>
      </c>
      <c r="O677" s="66">
        <f t="shared" si="46"/>
        <v>0</v>
      </c>
    </row>
    <row r="678" spans="1:15" ht="48" x14ac:dyDescent="0.2">
      <c r="A678" s="67" t="s">
        <v>295</v>
      </c>
      <c r="B678" s="61" t="s">
        <v>152</v>
      </c>
      <c r="C678" s="61" t="s">
        <v>149</v>
      </c>
      <c r="D678" s="62" t="s">
        <v>296</v>
      </c>
      <c r="E678" s="71" t="s">
        <v>177</v>
      </c>
      <c r="F678" s="72">
        <v>3925</v>
      </c>
      <c r="G678" s="73" t="s">
        <v>250</v>
      </c>
      <c r="H678" s="74">
        <f>[1]!'@CTA[8-2-1-3-9-3925,F,6,#6]'</f>
        <v>0</v>
      </c>
      <c r="I678" s="74">
        <f>[1]!'@CTA[8-2-3-3-9-3925,F,6,#6]'</f>
        <v>0</v>
      </c>
      <c r="J678" s="75">
        <f>[1]!'@CTA[8-2-1-3-9-3925,F,6,#6]'+[1]!'@CTA[8-2-3-3-9-3925,F,6,#6]'</f>
        <v>0</v>
      </c>
      <c r="K678" s="76">
        <f>[1]!'@CTA[8-2-4-3-9-3925,J,6,#6]'</f>
        <v>0</v>
      </c>
      <c r="L678" s="76">
        <f>[1]!'@CTA[8-2-5-3-9-3925,J,6,#6]'</f>
        <v>0</v>
      </c>
      <c r="M678" s="76">
        <f>[1]!'@CTA[8-2-6-3-9-3925,J,6,#6]'</f>
        <v>0</v>
      </c>
      <c r="N678" s="74">
        <f>[1]!'@CTA[8-2-7-3-9-3925,F,6,#6]'</f>
        <v>0</v>
      </c>
      <c r="O678" s="66">
        <f t="shared" si="46"/>
        <v>0</v>
      </c>
    </row>
    <row r="679" spans="1:15" ht="48" x14ac:dyDescent="0.2">
      <c r="A679" s="67" t="s">
        <v>295</v>
      </c>
      <c r="B679" s="61" t="s">
        <v>152</v>
      </c>
      <c r="C679" s="61" t="s">
        <v>149</v>
      </c>
      <c r="D679" s="62" t="s">
        <v>296</v>
      </c>
      <c r="E679" s="71" t="s">
        <v>177</v>
      </c>
      <c r="F679" s="72">
        <v>3926</v>
      </c>
      <c r="G679" s="73" t="s">
        <v>251</v>
      </c>
      <c r="H679" s="74">
        <f>[1]!'@CTA[8-2-1-3-9-3926,F,6,#6]'</f>
        <v>0</v>
      </c>
      <c r="I679" s="74">
        <f>[1]!'@CTA[8-2-3-3-9-3926,F,6,#6]'</f>
        <v>0</v>
      </c>
      <c r="J679" s="75">
        <f>[1]!'@CTA[8-2-1-3-9-3926,F,6,#6]'+[1]!'@CTA[8-2-3-3-9-3926,F,6,#6]'</f>
        <v>0</v>
      </c>
      <c r="K679" s="76">
        <f>[1]!'@CTA[8-2-4-3-9-3926,J,6,#6]'</f>
        <v>0</v>
      </c>
      <c r="L679" s="76">
        <f>[1]!'@CTA[8-2-5-3-9-3926,J,6,#6]'</f>
        <v>0</v>
      </c>
      <c r="M679" s="76">
        <f>[1]!'@CTA[8-2-6-3-9-3926,J,6,#6]'</f>
        <v>0</v>
      </c>
      <c r="N679" s="74">
        <f>[1]!'@CTA[8-2-7-3-9-3926,F,6,#6]'</f>
        <v>0</v>
      </c>
      <c r="O679" s="66">
        <f t="shared" si="46"/>
        <v>0</v>
      </c>
    </row>
    <row r="680" spans="1:15" ht="48" x14ac:dyDescent="0.2">
      <c r="A680" s="67" t="s">
        <v>295</v>
      </c>
      <c r="B680" s="61" t="s">
        <v>152</v>
      </c>
      <c r="C680" s="61" t="s">
        <v>149</v>
      </c>
      <c r="D680" s="62" t="s">
        <v>296</v>
      </c>
      <c r="E680" s="71" t="s">
        <v>177</v>
      </c>
      <c r="F680" s="72">
        <v>3961</v>
      </c>
      <c r="G680" s="73" t="s">
        <v>252</v>
      </c>
      <c r="H680" s="74">
        <f>[1]!'@CTA[8-2-1-3-9-3961,F,6,#6]'</f>
        <v>0</v>
      </c>
      <c r="I680" s="74">
        <f>[1]!'@CTA[8-2-3-3-9-3961,F,6,#6]'</f>
        <v>0</v>
      </c>
      <c r="J680" s="75">
        <f>[1]!'@CTA[8-2-1-3-9-3961,F,6,#6]'+[1]!'@CTA[8-2-3-3-9-3961,F,6,#6]'</f>
        <v>0</v>
      </c>
      <c r="K680" s="76">
        <f>[1]!'@CTA[8-2-4-3-9-3961,J,6,#6]'</f>
        <v>0</v>
      </c>
      <c r="L680" s="76">
        <f>[1]!'@CTA[8-2-5-3-9-3961,J,6,#6]'</f>
        <v>0</v>
      </c>
      <c r="M680" s="76">
        <f>[1]!'@CTA[8-2-6-3-9-3961,J,6,#6]'</f>
        <v>0</v>
      </c>
      <c r="N680" s="74">
        <f>[1]!'@CTA[8-2-7-3-9-3961,F,6,#6]'</f>
        <v>0</v>
      </c>
      <c r="O680" s="66">
        <f t="shared" si="46"/>
        <v>0</v>
      </c>
    </row>
    <row r="681" spans="1:15" ht="48" x14ac:dyDescent="0.2">
      <c r="A681" s="67" t="s">
        <v>295</v>
      </c>
      <c r="B681" s="61" t="s">
        <v>152</v>
      </c>
      <c r="C681" s="61" t="s">
        <v>149</v>
      </c>
      <c r="D681" s="62" t="s">
        <v>296</v>
      </c>
      <c r="E681" s="71" t="s">
        <v>177</v>
      </c>
      <c r="F681" s="72">
        <v>3962</v>
      </c>
      <c r="G681" s="73" t="s">
        <v>253</v>
      </c>
      <c r="H681" s="74">
        <f>[1]!'@CTA[8-2-1-3-9-3962,F,6,#6]'</f>
        <v>0</v>
      </c>
      <c r="I681" s="74">
        <f>[1]!'@CTA[8-2-3-3-9-3962,F,6,#6]'</f>
        <v>0</v>
      </c>
      <c r="J681" s="75">
        <f>[1]!'@CTA[8-2-1-3-9-3962,F,6,#6]'+[1]!'@CTA[8-2-3-3-9-3962,F,6,#6]'</f>
        <v>0</v>
      </c>
      <c r="K681" s="76">
        <f>[1]!'@CTA[8-2-4-3-9-3962,J,6,#6]'</f>
        <v>0</v>
      </c>
      <c r="L681" s="76">
        <f>[1]!'@CTA[8-2-5-3-9-3962,J,6,#6]'</f>
        <v>0</v>
      </c>
      <c r="M681" s="76">
        <f>[1]!'@CTA[8-2-6-3-9-3962,J,6,#6]'</f>
        <v>0</v>
      </c>
      <c r="N681" s="74">
        <f>[1]!'@CTA[8-2-7-3-9-3962,F,6,#6]'</f>
        <v>0</v>
      </c>
      <c r="O681" s="66">
        <f t="shared" si="46"/>
        <v>0</v>
      </c>
    </row>
    <row r="682" spans="1:15" ht="48" x14ac:dyDescent="0.2">
      <c r="A682" s="67" t="s">
        <v>295</v>
      </c>
      <c r="B682" s="61" t="s">
        <v>152</v>
      </c>
      <c r="C682" s="61" t="s">
        <v>149</v>
      </c>
      <c r="D682" s="62" t="s">
        <v>296</v>
      </c>
      <c r="E682" s="71" t="s">
        <v>254</v>
      </c>
      <c r="F682" s="72">
        <v>3981</v>
      </c>
      <c r="G682" s="73" t="s">
        <v>255</v>
      </c>
      <c r="H682" s="74">
        <f>[1]!'@CTA[8-2-1-3-9-3981,F,6,#6]'</f>
        <v>7350</v>
      </c>
      <c r="I682" s="74">
        <f>[1]!'@CTA[8-2-3-3-9-3981,F,6,#6]'</f>
        <v>875.19</v>
      </c>
      <c r="J682" s="75">
        <f>[1]!'@CTA[8-2-1-3-9-3981,F,6,#6]'+[1]!'@CTA[8-2-3-3-9-3981,F,6,#6]'</f>
        <v>8225.19</v>
      </c>
      <c r="K682" s="76">
        <f>[1]!'@CTA[8-2-4-3-9-3981,J,6,#6]'</f>
        <v>1625.3200000000002</v>
      </c>
      <c r="L682" s="76">
        <f>[1]!'@CTA[8-2-5-3-9-3981,J,6,#6]'</f>
        <v>1625.3200000000002</v>
      </c>
      <c r="M682" s="76">
        <f>[1]!'@CTA[8-2-6-3-9-3981,J,6,#6]'</f>
        <v>1625.3200000000002</v>
      </c>
      <c r="N682" s="74">
        <f>[1]!'@CTA[8-2-7-3-9-3981,F,6,#6]'</f>
        <v>1034.9999999999982</v>
      </c>
      <c r="O682" s="66">
        <f t="shared" si="46"/>
        <v>6599.8700000000008</v>
      </c>
    </row>
    <row r="683" spans="1:15" ht="48" x14ac:dyDescent="0.2">
      <c r="A683" s="67" t="s">
        <v>295</v>
      </c>
      <c r="B683" s="61"/>
      <c r="C683" s="61" t="s">
        <v>149</v>
      </c>
      <c r="D683" s="62" t="s">
        <v>296</v>
      </c>
      <c r="E683" s="61"/>
      <c r="F683" s="63">
        <v>5000</v>
      </c>
      <c r="G683" s="77" t="s">
        <v>256</v>
      </c>
      <c r="H683" s="69">
        <f t="shared" ref="H683:N683" si="47">SUBTOTAL(9,H684:H694)</f>
        <v>432766</v>
      </c>
      <c r="I683" s="69">
        <f t="shared" si="47"/>
        <v>0</v>
      </c>
      <c r="J683" s="69">
        <f t="shared" si="47"/>
        <v>432766</v>
      </c>
      <c r="K683" s="70">
        <f t="shared" si="47"/>
        <v>0</v>
      </c>
      <c r="L683" s="70">
        <f t="shared" si="47"/>
        <v>0</v>
      </c>
      <c r="M683" s="70">
        <f t="shared" si="47"/>
        <v>0</v>
      </c>
      <c r="N683" s="69">
        <f t="shared" si="47"/>
        <v>6.3664629124104977E-12</v>
      </c>
      <c r="O683" s="66">
        <f t="shared" si="46"/>
        <v>432766</v>
      </c>
    </row>
    <row r="684" spans="1:15" ht="48" x14ac:dyDescent="0.2">
      <c r="A684" s="67" t="s">
        <v>295</v>
      </c>
      <c r="B684" s="61" t="s">
        <v>152</v>
      </c>
      <c r="C684" s="61" t="s">
        <v>149</v>
      </c>
      <c r="D684" s="62" t="s">
        <v>296</v>
      </c>
      <c r="E684" s="71" t="s">
        <v>257</v>
      </c>
      <c r="F684" s="72">
        <v>5111</v>
      </c>
      <c r="G684" s="73" t="s">
        <v>258</v>
      </c>
      <c r="H684" s="74">
        <f>[1]!'@CTA[8-2-1-5-1-5111,F,6,#6]'</f>
        <v>0</v>
      </c>
      <c r="I684" s="74">
        <f>[1]!'@CTA[8-2-3-5-1-5111,F,6,#6]'</f>
        <v>0</v>
      </c>
      <c r="J684" s="75">
        <f>[1]!'@CTA[8-2-1-5-1-5111,F,6,#6]'+[1]!'@CTA[8-2-3-5-1-5111,F,6,#6]'</f>
        <v>0</v>
      </c>
      <c r="K684" s="76">
        <f>[1]!'@CTA[8-2-4-5-1-5111,J,6,#6]'</f>
        <v>0</v>
      </c>
      <c r="L684" s="76">
        <f>[1]!'@CTA[8-2-5-5-1-5111,J,6,#6]'</f>
        <v>0</v>
      </c>
      <c r="M684" s="76">
        <f>[1]!'@CTA[8-2-6-5-1-5111,J,6,#6]'</f>
        <v>0</v>
      </c>
      <c r="N684" s="74">
        <f>[1]!'@CTA[8-2-7-5-1-5111,F,6,#6]'</f>
        <v>0</v>
      </c>
      <c r="O684" s="66">
        <f t="shared" si="46"/>
        <v>0</v>
      </c>
    </row>
    <row r="685" spans="1:15" ht="48" x14ac:dyDescent="0.2">
      <c r="A685" s="67" t="s">
        <v>295</v>
      </c>
      <c r="B685" s="61" t="s">
        <v>152</v>
      </c>
      <c r="C685" s="61" t="s">
        <v>149</v>
      </c>
      <c r="D685" s="62" t="s">
        <v>296</v>
      </c>
      <c r="E685" s="71" t="s">
        <v>259</v>
      </c>
      <c r="F685" s="72">
        <v>5151</v>
      </c>
      <c r="G685" s="73" t="s">
        <v>260</v>
      </c>
      <c r="H685" s="74">
        <f>[1]!'@CTA[8-2-1-5-1-5151,F,6,#6]'</f>
        <v>94096</v>
      </c>
      <c r="I685" s="74">
        <f>[1]!'@CTA[8-2-3-5-1-5151,F,6,#6]'</f>
        <v>0</v>
      </c>
      <c r="J685" s="75">
        <f>[1]!'@CTA[8-2-1-5-1-5151,F,6,#6]'+[1]!'@CTA[8-2-3-5-1-5151,F,6,#6]'</f>
        <v>94096</v>
      </c>
      <c r="K685" s="76">
        <f>[1]!'@CTA[8-2-4-5-1-5151,J,6,#6]'</f>
        <v>0</v>
      </c>
      <c r="L685" s="76">
        <f>[1]!'@CTA[8-2-5-5-1-5151,J,6,#6]'</f>
        <v>0</v>
      </c>
      <c r="M685" s="76">
        <f>[1]!'@CTA[8-2-6-5-1-5151,J,6,#6]'</f>
        <v>0</v>
      </c>
      <c r="N685" s="74">
        <f>[1]!'@CTA[8-2-7-5-1-5151,F,6,#6]'</f>
        <v>9.0949470177292824E-13</v>
      </c>
      <c r="O685" s="66">
        <f t="shared" si="46"/>
        <v>94096</v>
      </c>
    </row>
    <row r="686" spans="1:15" ht="48" x14ac:dyDescent="0.2">
      <c r="A686" s="67" t="s">
        <v>295</v>
      </c>
      <c r="B686" s="61" t="s">
        <v>152</v>
      </c>
      <c r="C686" s="61" t="s">
        <v>149</v>
      </c>
      <c r="D686" s="62" t="s">
        <v>296</v>
      </c>
      <c r="E686" s="71" t="s">
        <v>259</v>
      </c>
      <c r="F686" s="72">
        <v>5152</v>
      </c>
      <c r="G686" s="73" t="s">
        <v>261</v>
      </c>
      <c r="H686" s="74">
        <f>[1]!'@CTA[8-2-1-5-1-5152,F,6,#6]'</f>
        <v>291061</v>
      </c>
      <c r="I686" s="74">
        <f>[1]!'@CTA[8-2-3-5-1-5152,F,6,#6]'</f>
        <v>0</v>
      </c>
      <c r="J686" s="75">
        <f>[1]!'@CTA[8-2-1-5-1-5152,F,6,#6]'+[1]!'@CTA[8-2-3-5-1-5152,F,6,#6]'</f>
        <v>291061</v>
      </c>
      <c r="K686" s="76">
        <f>[1]!'@CTA[8-2-4-5-1-5152,J,6,#6]'</f>
        <v>0</v>
      </c>
      <c r="L686" s="76">
        <f>[1]!'@CTA[8-2-5-5-1-5152,J,6,#6]'</f>
        <v>0</v>
      </c>
      <c r="M686" s="76">
        <f>[1]!'@CTA[8-2-6-5-1-5152,J,6,#6]'</f>
        <v>0</v>
      </c>
      <c r="N686" s="74">
        <f>[1]!'@CTA[8-2-7-5-1-5152,F,6,#6]'</f>
        <v>-1.8189894035458565E-12</v>
      </c>
      <c r="O686" s="66">
        <f t="shared" si="46"/>
        <v>291061</v>
      </c>
    </row>
    <row r="687" spans="1:15" ht="48" x14ac:dyDescent="0.2">
      <c r="A687" s="67" t="s">
        <v>295</v>
      </c>
      <c r="B687" s="61" t="s">
        <v>152</v>
      </c>
      <c r="C687" s="61" t="s">
        <v>149</v>
      </c>
      <c r="D687" s="62" t="s">
        <v>296</v>
      </c>
      <c r="E687" s="71" t="s">
        <v>259</v>
      </c>
      <c r="F687" s="72">
        <v>5153</v>
      </c>
      <c r="G687" s="73" t="s">
        <v>262</v>
      </c>
      <c r="H687" s="74">
        <f>[1]!'@CTA[8-2-1-5-1-5153,F,6,#6]'</f>
        <v>0</v>
      </c>
      <c r="I687" s="74">
        <f>[1]!'@CTA[8-2-3-5-1-5153,F,6,#6]'</f>
        <v>0</v>
      </c>
      <c r="J687" s="75">
        <f>[1]!'@CTA[8-2-1-5-1-5153,F,6,#6]'+[1]!'@CTA[8-2-3-5-1-5153,F,6,#6]'</f>
        <v>0</v>
      </c>
      <c r="K687" s="76">
        <f>[1]!'@CTA[8-2-4-5-1-5153,J,6,#6]'</f>
        <v>0</v>
      </c>
      <c r="L687" s="76">
        <f>[1]!'@CTA[8-2-5-5-1-5153,J,6,#6]'</f>
        <v>0</v>
      </c>
      <c r="M687" s="76">
        <f>[1]!'@CTA[8-2-6-5-1-5153,J,6,#6]'</f>
        <v>0</v>
      </c>
      <c r="N687" s="74">
        <f>[1]!'@CTA[8-2-7-5-1-5153,F,6,#6]'</f>
        <v>0</v>
      </c>
      <c r="O687" s="66">
        <f t="shared" si="46"/>
        <v>0</v>
      </c>
    </row>
    <row r="688" spans="1:15" ht="48" x14ac:dyDescent="0.2">
      <c r="A688" s="67" t="s">
        <v>295</v>
      </c>
      <c r="B688" s="61" t="s">
        <v>152</v>
      </c>
      <c r="C688" s="61" t="s">
        <v>149</v>
      </c>
      <c r="D688" s="62" t="s">
        <v>296</v>
      </c>
      <c r="E688" s="71" t="s">
        <v>257</v>
      </c>
      <c r="F688" s="72">
        <v>5231</v>
      </c>
      <c r="G688" s="73" t="s">
        <v>263</v>
      </c>
      <c r="H688" s="74">
        <f>[1]!'@CTA[8-2-1-5-2-5231,F,6,#6]'</f>
        <v>0</v>
      </c>
      <c r="I688" s="74">
        <f>[1]!'@CTA[8-2-3-5-2-5231,F,6,#6]'</f>
        <v>0</v>
      </c>
      <c r="J688" s="75">
        <f>[1]!'@CTA[8-2-1-5-2-5231,F,6,#6]'+[1]!'@CTA[8-2-3-5-2-5231,F,6,#6]'</f>
        <v>0</v>
      </c>
      <c r="K688" s="76">
        <f>[1]!'@CTA[8-2-4-5-2-5231,J,6,#6]'</f>
        <v>0</v>
      </c>
      <c r="L688" s="76">
        <f>[1]!'@CTA[8-2-5-5-2-5231,J,6,#6]'</f>
        <v>0</v>
      </c>
      <c r="M688" s="76">
        <f>[1]!'@CTA[8-2-6-5-2-5231,J,6,#6]'</f>
        <v>0</v>
      </c>
      <c r="N688" s="74">
        <f>[1]!'@CTA[8-2-7-5-2-5231,F,6,#6]'</f>
        <v>0</v>
      </c>
      <c r="O688" s="66">
        <f t="shared" si="46"/>
        <v>0</v>
      </c>
    </row>
    <row r="689" spans="1:15" ht="48" x14ac:dyDescent="0.2">
      <c r="A689" s="67" t="s">
        <v>295</v>
      </c>
      <c r="B689" s="61" t="s">
        <v>152</v>
      </c>
      <c r="C689" s="61" t="s">
        <v>149</v>
      </c>
      <c r="D689" s="62" t="s">
        <v>296</v>
      </c>
      <c r="E689" s="71" t="s">
        <v>264</v>
      </c>
      <c r="F689" s="72">
        <v>5411</v>
      </c>
      <c r="G689" s="73" t="s">
        <v>265</v>
      </c>
      <c r="H689" s="74">
        <f>[1]!'@CTA[8-2-1-5-4-5411,F,6,#6]'</f>
        <v>0</v>
      </c>
      <c r="I689" s="74">
        <f>[1]!'@CTA[8-2-3-5-4-5411,F,6,#6]'</f>
        <v>0</v>
      </c>
      <c r="J689" s="75">
        <f>[1]!'@CTA[8-2-1-5-4-5411,F,6,#6]'+[1]!'@CTA[8-2-3-5-4-5411,F,6,#6]'</f>
        <v>0</v>
      </c>
      <c r="K689" s="76">
        <f>[1]!'@CTA[8-2-4-5-4-5411,J,6,#6]'</f>
        <v>0</v>
      </c>
      <c r="L689" s="76">
        <f>[1]!'@CTA[8-2-5-5-4-5411,J,6,#6]'</f>
        <v>0</v>
      </c>
      <c r="M689" s="76">
        <f>[1]!'@CTA[8-2-6-5-4-5411,J,6,#6]'</f>
        <v>0</v>
      </c>
      <c r="N689" s="74">
        <f>[1]!'@CTA[8-2-7-5-4-5411,F,6,#6]'</f>
        <v>0</v>
      </c>
      <c r="O689" s="66">
        <f t="shared" si="46"/>
        <v>0</v>
      </c>
    </row>
    <row r="690" spans="1:15" ht="48" x14ac:dyDescent="0.2">
      <c r="A690" s="67" t="s">
        <v>295</v>
      </c>
      <c r="B690" s="61" t="s">
        <v>152</v>
      </c>
      <c r="C690" s="61" t="s">
        <v>149</v>
      </c>
      <c r="D690" s="62" t="s">
        <v>296</v>
      </c>
      <c r="E690" s="71" t="s">
        <v>264</v>
      </c>
      <c r="F690" s="72">
        <v>5491</v>
      </c>
      <c r="G690" s="73" t="s">
        <v>266</v>
      </c>
      <c r="H690" s="74">
        <f>[1]!'@CTA[8-2-1-5-4-5491,F,6,#6]'</f>
        <v>0</v>
      </c>
      <c r="I690" s="74">
        <f>[1]!'@CTA[8-2-3-5-4-5491,F,6,#6]'</f>
        <v>0</v>
      </c>
      <c r="J690" s="75">
        <f>[1]!'@CTA[8-2-1-5-4-5491,F,6,#6]'+[1]!'@CTA[8-2-3-5-4-5491,F,6,#6]'</f>
        <v>0</v>
      </c>
      <c r="K690" s="76">
        <f>[1]!'@CTA[8-2-4-5-4-5491,J,6,#6]'</f>
        <v>0</v>
      </c>
      <c r="L690" s="76">
        <f>[1]!'@CTA[8-2-5-5-4-5491,J,6,#6]'</f>
        <v>0</v>
      </c>
      <c r="M690" s="76">
        <f>[1]!'@CTA[8-2-6-5-4-5491,J,6,#6]'</f>
        <v>0</v>
      </c>
      <c r="N690" s="74">
        <f>[1]!'@CTA[8-2-7-5-4-5491,F,6,#6]'</f>
        <v>0</v>
      </c>
      <c r="O690" s="66">
        <f t="shared" si="46"/>
        <v>0</v>
      </c>
    </row>
    <row r="691" spans="1:15" ht="48" x14ac:dyDescent="0.2">
      <c r="A691" s="67" t="s">
        <v>295</v>
      </c>
      <c r="B691" s="61" t="s">
        <v>152</v>
      </c>
      <c r="C691" s="61" t="s">
        <v>149</v>
      </c>
      <c r="D691" s="62" t="s">
        <v>296</v>
      </c>
      <c r="E691" s="71" t="s">
        <v>257</v>
      </c>
      <c r="F691" s="72">
        <v>5631</v>
      </c>
      <c r="G691" s="73" t="s">
        <v>267</v>
      </c>
      <c r="H691" s="74">
        <f>[1]!'@CTA[8-2-1-5-6-5631,F,6,#6]'</f>
        <v>5603</v>
      </c>
      <c r="I691" s="74">
        <f>[1]!'@CTA[8-2-3-5-6-5631,F,6,#6]'</f>
        <v>0</v>
      </c>
      <c r="J691" s="75">
        <f>[1]!'@CTA[8-2-1-5-6-5631,F,6,#6]'+[1]!'@CTA[8-2-3-5-6-5631,F,6,#6]'</f>
        <v>5603</v>
      </c>
      <c r="K691" s="76">
        <f>[1]!'@CTA[8-2-4-5-6-5631,J,6,#6]'</f>
        <v>0</v>
      </c>
      <c r="L691" s="76">
        <f>[1]!'@CTA[8-2-5-5-6-5631,J,6,#6]'</f>
        <v>0</v>
      </c>
      <c r="M691" s="76">
        <f>[1]!'@CTA[8-2-6-5-6-5631,J,6,#6]'</f>
        <v>0</v>
      </c>
      <c r="N691" s="74">
        <f>[1]!'@CTA[8-2-7-5-6-5631,F,6,#6]'</f>
        <v>0</v>
      </c>
      <c r="O691" s="66">
        <f t="shared" si="46"/>
        <v>5603</v>
      </c>
    </row>
    <row r="692" spans="1:15" ht="48" x14ac:dyDescent="0.2">
      <c r="A692" s="67" t="s">
        <v>295</v>
      </c>
      <c r="B692" s="61" t="s">
        <v>152</v>
      </c>
      <c r="C692" s="61" t="s">
        <v>149</v>
      </c>
      <c r="D692" s="62" t="s">
        <v>296</v>
      </c>
      <c r="E692" s="71" t="s">
        <v>257</v>
      </c>
      <c r="F692" s="72">
        <v>5651</v>
      </c>
      <c r="G692" s="73" t="s">
        <v>268</v>
      </c>
      <c r="H692" s="74">
        <f>[1]!'@CTA[8-2-1-5-6-5651,F,6,#6]'</f>
        <v>0</v>
      </c>
      <c r="I692" s="74">
        <f>[1]!'@CTA[8-2-3-5-6-5651,F,6,#6]'</f>
        <v>0</v>
      </c>
      <c r="J692" s="75">
        <f>[1]!'@CTA[8-2-1-5-6-5651,F,6,#6]'+[1]!'@CTA[8-2-3-5-6-5651,F,6,#6]'</f>
        <v>0</v>
      </c>
      <c r="K692" s="76">
        <f>[1]!'@CTA[8-2-4-5-6-5651,J,6,#6]'</f>
        <v>0</v>
      </c>
      <c r="L692" s="76">
        <f>[1]!'@CTA[8-2-5-5-6-5651,J,6,#6]'</f>
        <v>0</v>
      </c>
      <c r="M692" s="76">
        <f>[1]!'@CTA[8-2-6-5-6-5651,J,6,#6]'</f>
        <v>0</v>
      </c>
      <c r="N692" s="74">
        <f>[1]!'@CTA[8-2-7-5-6-5651,F,6,#6]'</f>
        <v>0</v>
      </c>
      <c r="O692" s="66">
        <f t="shared" si="46"/>
        <v>0</v>
      </c>
    </row>
    <row r="693" spans="1:15" ht="48" x14ac:dyDescent="0.2">
      <c r="A693" s="67" t="s">
        <v>295</v>
      </c>
      <c r="B693" s="61" t="s">
        <v>152</v>
      </c>
      <c r="C693" s="61" t="s">
        <v>149</v>
      </c>
      <c r="D693" s="62" t="s">
        <v>296</v>
      </c>
      <c r="E693" s="71" t="s">
        <v>257</v>
      </c>
      <c r="F693" s="72">
        <v>5671</v>
      </c>
      <c r="G693" s="73" t="s">
        <v>269</v>
      </c>
      <c r="H693" s="74">
        <f>[1]!'@CTA[8-2-1-5-6-5671,F,6,#6]'</f>
        <v>0</v>
      </c>
      <c r="I693" s="74">
        <f>[1]!'@CTA[8-2-3-5-6-5671,F,6,#6]'</f>
        <v>0</v>
      </c>
      <c r="J693" s="75">
        <f>[1]!'@CTA[8-2-1-5-6-5671,F,6,#6]'+[1]!'@CTA[8-2-3-5-6-5671,F,6,#6]'</f>
        <v>0</v>
      </c>
      <c r="K693" s="76">
        <f>[1]!'@CTA[8-2-4-5-6-5671,J,6,#6]'</f>
        <v>0</v>
      </c>
      <c r="L693" s="76">
        <f>[1]!'@CTA[8-2-5-5-6-5671,J,6,#6]'</f>
        <v>0</v>
      </c>
      <c r="M693" s="76">
        <f>[1]!'@CTA[8-2-6-5-6-5671,J,6,#6]'</f>
        <v>0</v>
      </c>
      <c r="N693" s="74">
        <f>[1]!'@CTA[8-2-7-5-6-5671,F,6,#6]'</f>
        <v>0</v>
      </c>
      <c r="O693" s="66">
        <f t="shared" si="46"/>
        <v>0</v>
      </c>
    </row>
    <row r="694" spans="1:15" ht="48" x14ac:dyDescent="0.2">
      <c r="A694" s="67" t="s">
        <v>295</v>
      </c>
      <c r="B694" s="61" t="s">
        <v>152</v>
      </c>
      <c r="C694" s="61" t="s">
        <v>149</v>
      </c>
      <c r="D694" s="62" t="s">
        <v>296</v>
      </c>
      <c r="E694" s="71" t="s">
        <v>270</v>
      </c>
      <c r="F694" s="72">
        <v>5911</v>
      </c>
      <c r="G694" s="73" t="s">
        <v>271</v>
      </c>
      <c r="H694" s="74">
        <f>[1]!'@CTA[8-2-1-5-9-5911,F,6,#6]'</f>
        <v>42006</v>
      </c>
      <c r="I694" s="74">
        <f>[1]!'@CTA[8-2-3-5-9-5911,F,6,#6]'</f>
        <v>0</v>
      </c>
      <c r="J694" s="75">
        <f>[1]!'@CTA[8-2-1-5-9-5911,F,6,#6]'+[1]!'@CTA[8-2-3-5-9-5911,F,6,#6]'</f>
        <v>42006</v>
      </c>
      <c r="K694" s="76">
        <f>[1]!'@CTA[8-2-4-5-9-5911,J,6,#6]'</f>
        <v>0</v>
      </c>
      <c r="L694" s="76">
        <f>[1]!'@CTA[8-2-5-5-9-5911,J,6,#6]'</f>
        <v>0</v>
      </c>
      <c r="M694" s="76">
        <f>[1]!'@CTA[8-2-6-5-9-5911,J,6,#6]'</f>
        <v>0</v>
      </c>
      <c r="N694" s="74">
        <f>[1]!'@CTA[8-2-7-5-9-5911,F,6,#6]'</f>
        <v>7.2759576141834259E-12</v>
      </c>
      <c r="O694" s="66">
        <f t="shared" si="46"/>
        <v>42006</v>
      </c>
    </row>
    <row r="695" spans="1:15" ht="48" x14ac:dyDescent="0.2">
      <c r="A695" s="67" t="s">
        <v>295</v>
      </c>
      <c r="B695" s="61"/>
      <c r="C695" s="61" t="s">
        <v>149</v>
      </c>
      <c r="D695" s="62" t="s">
        <v>296</v>
      </c>
      <c r="E695" s="61"/>
      <c r="F695" s="63">
        <v>6000</v>
      </c>
      <c r="G695" s="68" t="s">
        <v>274</v>
      </c>
      <c r="H695" s="69">
        <f t="shared" ref="H695:N695" si="48">SUBTOTAL(9,H696:H699)</f>
        <v>0</v>
      </c>
      <c r="I695" s="69">
        <f t="shared" si="48"/>
        <v>0</v>
      </c>
      <c r="J695" s="69">
        <f t="shared" si="48"/>
        <v>0</v>
      </c>
      <c r="K695" s="70">
        <f t="shared" si="48"/>
        <v>0</v>
      </c>
      <c r="L695" s="70">
        <f t="shared" si="48"/>
        <v>0</v>
      </c>
      <c r="M695" s="70">
        <f t="shared" si="48"/>
        <v>0</v>
      </c>
      <c r="N695" s="69">
        <f t="shared" si="48"/>
        <v>0</v>
      </c>
      <c r="O695" s="66">
        <f t="shared" si="46"/>
        <v>0</v>
      </c>
    </row>
    <row r="696" spans="1:15" ht="48" x14ac:dyDescent="0.2">
      <c r="A696" s="67" t="s">
        <v>295</v>
      </c>
      <c r="B696" s="61" t="s">
        <v>275</v>
      </c>
      <c r="C696" s="61" t="s">
        <v>149</v>
      </c>
      <c r="D696" s="62" t="s">
        <v>296</v>
      </c>
      <c r="E696" s="71" t="s">
        <v>276</v>
      </c>
      <c r="F696" s="72">
        <v>6131</v>
      </c>
      <c r="G696" s="78" t="s">
        <v>277</v>
      </c>
      <c r="H696" s="74">
        <f>[1]!'@CTA[8-2-1-6-1-6131,F,6,#6]'</f>
        <v>0</v>
      </c>
      <c r="I696" s="74">
        <f>[1]!'@CTA[8-2-3-6-1-6131,F,6,#6]'</f>
        <v>0</v>
      </c>
      <c r="J696" s="75">
        <f>[1]!'@CTA[8-2-1-6-1-6131,F,6,#6]'+[1]!'@CTA[8-2-3-6-1-6131,F,6,#6]'</f>
        <v>0</v>
      </c>
      <c r="K696" s="76">
        <f>[1]!'@CTA[8-2-4-6-1-6131,J,6,#6]'</f>
        <v>0</v>
      </c>
      <c r="L696" s="76">
        <f>[1]!'@CTA[8-2-5-6-1-6131,J,6,#6]'</f>
        <v>0</v>
      </c>
      <c r="M696" s="76">
        <f>[1]!'@CTA[8-2-6-6-1-6131,J,6,#6]'</f>
        <v>0</v>
      </c>
      <c r="N696" s="74">
        <f>[1]!'@CTA[8-2-7-6-1-6131,F,6,#6]'</f>
        <v>0</v>
      </c>
      <c r="O696" s="66">
        <f t="shared" si="46"/>
        <v>0</v>
      </c>
    </row>
    <row r="697" spans="1:15" ht="48" x14ac:dyDescent="0.2">
      <c r="A697" s="67" t="s">
        <v>295</v>
      </c>
      <c r="B697" s="61" t="s">
        <v>275</v>
      </c>
      <c r="C697" s="61" t="s">
        <v>149</v>
      </c>
      <c r="D697" s="62" t="s">
        <v>296</v>
      </c>
      <c r="E697" s="71" t="s">
        <v>276</v>
      </c>
      <c r="F697" s="72">
        <v>6161</v>
      </c>
      <c r="G697" s="78" t="s">
        <v>278</v>
      </c>
      <c r="H697" s="74">
        <f>[1]!'@CTA[8-2-1-6-1-6161,F,6,#6]'</f>
        <v>0</v>
      </c>
      <c r="I697" s="74">
        <f>[1]!'@CTA[8-2-3-6-1-6161,F,6,#6]'</f>
        <v>0</v>
      </c>
      <c r="J697" s="75">
        <f>[1]!'@CTA[8-2-1-6-1-6161,F,6,#6]'+[1]!'@CTA[8-2-3-6-1-6161,F,6,#6]'</f>
        <v>0</v>
      </c>
      <c r="K697" s="76">
        <f>[1]!'@CTA[8-2-4-6-1-6161,J,6,#6]'</f>
        <v>0</v>
      </c>
      <c r="L697" s="76">
        <f>[1]!'@CTA[8-2-5-6-1-6161,J,6,#6]'</f>
        <v>0</v>
      </c>
      <c r="M697" s="76">
        <f>[1]!'@CTA[8-2-6-6-1-6161,J,6,#6]'</f>
        <v>0</v>
      </c>
      <c r="N697" s="74">
        <f>[1]!'@CTA[8-2-7-6-1-6161,F,6,#6]'</f>
        <v>0</v>
      </c>
      <c r="O697" s="66">
        <f t="shared" si="46"/>
        <v>0</v>
      </c>
    </row>
    <row r="698" spans="1:15" ht="48" x14ac:dyDescent="0.2">
      <c r="A698" s="67" t="s">
        <v>295</v>
      </c>
      <c r="B698" s="61" t="s">
        <v>275</v>
      </c>
      <c r="C698" s="61" t="s">
        <v>149</v>
      </c>
      <c r="D698" s="62" t="s">
        <v>296</v>
      </c>
      <c r="E698" s="71" t="s">
        <v>276</v>
      </c>
      <c r="F698" s="72">
        <v>6162</v>
      </c>
      <c r="G698" s="78" t="s">
        <v>279</v>
      </c>
      <c r="H698" s="74">
        <f>[1]!'@CTA[8-2-1-6-1-6162,F,6,#6]'</f>
        <v>0</v>
      </c>
      <c r="I698" s="74">
        <f>[1]!'@CTA[8-2-3-6-1-6162,F,6,#6]'</f>
        <v>0</v>
      </c>
      <c r="J698" s="75">
        <f>[1]!'@CTA[8-2-1-6-1-6162,F,6,#6]'+[1]!'@CTA[8-2-3-6-1-6162,F,6,#6]'</f>
        <v>0</v>
      </c>
      <c r="K698" s="76">
        <f>[1]!'@CTA[8-2-4-6-1-6162,J,6,#6]'</f>
        <v>0</v>
      </c>
      <c r="L698" s="76">
        <f>[1]!'@CTA[8-2-5-6-1-6162,J,6,#6]'</f>
        <v>0</v>
      </c>
      <c r="M698" s="76">
        <f>[1]!'@CTA[8-2-6-6-1-6162,J,6,#6]'</f>
        <v>0</v>
      </c>
      <c r="N698" s="74">
        <f>[1]!'@CTA[8-2-7-6-1-6162,F,6,#6]'</f>
        <v>0</v>
      </c>
      <c r="O698" s="66">
        <f t="shared" si="46"/>
        <v>0</v>
      </c>
    </row>
    <row r="699" spans="1:15" ht="48" x14ac:dyDescent="0.2">
      <c r="A699" s="67" t="s">
        <v>295</v>
      </c>
      <c r="B699" s="61" t="s">
        <v>275</v>
      </c>
      <c r="C699" s="61" t="s">
        <v>149</v>
      </c>
      <c r="D699" s="62" t="s">
        <v>296</v>
      </c>
      <c r="E699" s="71" t="s">
        <v>276</v>
      </c>
      <c r="F699" s="72">
        <v>6171</v>
      </c>
      <c r="G699" s="78" t="s">
        <v>280</v>
      </c>
      <c r="H699" s="74">
        <f>[1]!'@CTA[8-2-1-6-1-6171,F,6,#6]'</f>
        <v>0</v>
      </c>
      <c r="I699" s="74">
        <f>[1]!'@CTA[8-2-3-6-1-6171,F,6,#6]'</f>
        <v>0</v>
      </c>
      <c r="J699" s="75">
        <f>[1]!'@CTA[8-2-1-6-1-6171,F,6,#6]'+[1]!'@CTA[8-2-3-6-1-6171,F,6,#6]'</f>
        <v>0</v>
      </c>
      <c r="K699" s="76">
        <f>[1]!'@CTA[8-2-4-6-1-6171,J,6,#6]'</f>
        <v>0</v>
      </c>
      <c r="L699" s="76">
        <f>[1]!'@CTA[8-2-5-6-1-6171,J,6,#6]'</f>
        <v>0</v>
      </c>
      <c r="M699" s="76">
        <f>[1]!'@CTA[8-2-6-6-1-6171,J,6,#6]'</f>
        <v>0</v>
      </c>
      <c r="N699" s="74">
        <f>[1]!'@CTA[8-2-7-6-1-6171,F,6,#6]'</f>
        <v>0</v>
      </c>
      <c r="O699" s="66">
        <f t="shared" si="46"/>
        <v>0</v>
      </c>
    </row>
    <row r="700" spans="1:15" ht="12" x14ac:dyDescent="0.2">
      <c r="A700" s="67"/>
      <c r="B700" s="61"/>
      <c r="C700" s="61"/>
      <c r="D700" s="62"/>
      <c r="E700" s="61"/>
      <c r="F700" s="63"/>
      <c r="G700" s="64" t="s">
        <v>297</v>
      </c>
      <c r="H700" s="79">
        <f t="shared" ref="H700:N700" si="49">SUBTOTAL(9,H701:H816)</f>
        <v>4662045</v>
      </c>
      <c r="I700" s="79">
        <f t="shared" si="49"/>
        <v>29631.380000000026</v>
      </c>
      <c r="J700" s="79">
        <f t="shared" si="49"/>
        <v>4691676.3800000008</v>
      </c>
      <c r="K700" s="79">
        <f t="shared" si="49"/>
        <v>1222460.93</v>
      </c>
      <c r="L700" s="79">
        <f t="shared" si="49"/>
        <v>1222460.93</v>
      </c>
      <c r="M700" s="79">
        <f t="shared" si="49"/>
        <v>1222460.93</v>
      </c>
      <c r="N700" s="79">
        <f t="shared" si="49"/>
        <v>1011024.6900000001</v>
      </c>
      <c r="O700" s="66">
        <f t="shared" si="46"/>
        <v>3469215.4500000011</v>
      </c>
    </row>
    <row r="701" spans="1:15" ht="240" x14ac:dyDescent="0.2">
      <c r="A701" s="67" t="s">
        <v>298</v>
      </c>
      <c r="B701" s="61"/>
      <c r="C701" s="61" t="s">
        <v>149</v>
      </c>
      <c r="D701" s="62" t="s">
        <v>299</v>
      </c>
      <c r="E701" s="61"/>
      <c r="F701" s="63">
        <v>1000</v>
      </c>
      <c r="G701" s="68" t="s">
        <v>151</v>
      </c>
      <c r="H701" s="69">
        <f t="shared" ref="H701:N701" si="50">SUBTOTAL(9,H702:H720)</f>
        <v>1858148</v>
      </c>
      <c r="I701" s="69">
        <f t="shared" si="50"/>
        <v>26475.27</v>
      </c>
      <c r="J701" s="69">
        <f t="shared" si="50"/>
        <v>1884623.27</v>
      </c>
      <c r="K701" s="70">
        <f t="shared" si="50"/>
        <v>382787.11</v>
      </c>
      <c r="L701" s="70">
        <f t="shared" si="50"/>
        <v>382787.11</v>
      </c>
      <c r="M701" s="70">
        <f t="shared" si="50"/>
        <v>382787.11</v>
      </c>
      <c r="N701" s="69">
        <f t="shared" si="50"/>
        <v>346727.60000000015</v>
      </c>
      <c r="O701" s="66">
        <f t="shared" si="46"/>
        <v>1501836.1600000001</v>
      </c>
    </row>
    <row r="702" spans="1:15" ht="240" x14ac:dyDescent="0.2">
      <c r="A702" s="67" t="s">
        <v>298</v>
      </c>
      <c r="B702" s="61" t="s">
        <v>152</v>
      </c>
      <c r="C702" s="61" t="s">
        <v>149</v>
      </c>
      <c r="D702" s="62" t="s">
        <v>299</v>
      </c>
      <c r="E702" s="71" t="s">
        <v>153</v>
      </c>
      <c r="F702" s="72">
        <v>1131</v>
      </c>
      <c r="G702" s="73" t="s">
        <v>154</v>
      </c>
      <c r="H702" s="74">
        <f>[1]!'@CTA[8-2-1-1-1-1131,F,7,#6]'</f>
        <v>1033896</v>
      </c>
      <c r="I702" s="74">
        <f>[1]!'@CTA[8-2-3-1-1-1131,F,7,#6]'</f>
        <v>0</v>
      </c>
      <c r="J702" s="75">
        <f>[1]!'@CTA[8-2-1-1-1-1131,F,7,#6]'+[1]!'@CTA[8-2-3-1-1-1131,F,7,#6]'</f>
        <v>1033896</v>
      </c>
      <c r="K702" s="76">
        <f>[1]!'@CTA[8-2-4-1-1-1131,J,7,#6]'</f>
        <v>240597.76999999996</v>
      </c>
      <c r="L702" s="76">
        <f>[1]!'@CTA[8-2-5-1-1-1131,J,7,#6]'</f>
        <v>240597.76999999996</v>
      </c>
      <c r="M702" s="76">
        <f>[1]!'@CTA[8-2-6-1-1-1131,J,7,#6]'</f>
        <v>240597.76999999996</v>
      </c>
      <c r="N702" s="74">
        <f>[1]!'@CTA[8-2-7-1-1-1131,F,7,#6]'</f>
        <v>222647.18000000011</v>
      </c>
      <c r="O702" s="66">
        <f t="shared" si="46"/>
        <v>793298.23</v>
      </c>
    </row>
    <row r="703" spans="1:15" ht="240" x14ac:dyDescent="0.2">
      <c r="A703" s="67" t="s">
        <v>298</v>
      </c>
      <c r="B703" s="61" t="s">
        <v>152</v>
      </c>
      <c r="C703" s="61" t="s">
        <v>149</v>
      </c>
      <c r="D703" s="62" t="s">
        <v>299</v>
      </c>
      <c r="E703" s="71" t="s">
        <v>153</v>
      </c>
      <c r="F703" s="72">
        <v>1211</v>
      </c>
      <c r="G703" s="73" t="s">
        <v>156</v>
      </c>
      <c r="H703" s="74">
        <f>[1]!'@CTA[8-2-1-1-2-1211,F,7,#6]'</f>
        <v>0</v>
      </c>
      <c r="I703" s="74">
        <f>[1]!'@CTA[8-2-3-1-2-1211,F,7,#6]'</f>
        <v>0</v>
      </c>
      <c r="J703" s="75">
        <f>[1]!'@CTA[8-2-1-1-2-1211,F,7,#6]'+[1]!'@CTA[8-2-3-1-2-1211,F,7,#6]'</f>
        <v>0</v>
      </c>
      <c r="K703" s="76">
        <f>[1]!'@CTA[8-2-4-1-2-1211,J,7,#6]'</f>
        <v>0</v>
      </c>
      <c r="L703" s="76">
        <f>[1]!'@CTA[8-2-5-1-2-1211,J,7,#6]'</f>
        <v>0</v>
      </c>
      <c r="M703" s="76">
        <f>[1]!'@CTA[8-2-6-1-2-1211,J,7,#6]'</f>
        <v>0</v>
      </c>
      <c r="N703" s="74">
        <f>[1]!'@CTA[8-2-7-1-2-1211,F,7,#6]'</f>
        <v>0</v>
      </c>
      <c r="O703" s="66">
        <f t="shared" si="46"/>
        <v>0</v>
      </c>
    </row>
    <row r="704" spans="1:15" ht="240" x14ac:dyDescent="0.2">
      <c r="A704" s="67" t="s">
        <v>298</v>
      </c>
      <c r="B704" s="61" t="s">
        <v>152</v>
      </c>
      <c r="C704" s="61" t="s">
        <v>149</v>
      </c>
      <c r="D704" s="62" t="s">
        <v>299</v>
      </c>
      <c r="E704" s="71" t="s">
        <v>153</v>
      </c>
      <c r="F704" s="72">
        <v>1221</v>
      </c>
      <c r="G704" s="73" t="s">
        <v>155</v>
      </c>
      <c r="H704" s="74">
        <f>[1]!'@CTA[8-2-1-1-2-1221,F,7,#6]'</f>
        <v>0</v>
      </c>
      <c r="I704" s="74">
        <f>[1]!'@CTA[8-2-3-1-2-1221,F,7,#6]'</f>
        <v>0</v>
      </c>
      <c r="J704" s="75">
        <f>[1]!'@CTA[8-2-1-1-2-1221,F,7,#6]'+[1]!'@CTA[8-2-3-1-2-1221,F,7,#6]'</f>
        <v>0</v>
      </c>
      <c r="K704" s="76">
        <f>[1]!'@CTA[8-2-4-1-2-1221,J,7,#6]'</f>
        <v>0</v>
      </c>
      <c r="L704" s="76">
        <f>[1]!'@CTA[8-2-5-1-2-1221,J,7,#6]'</f>
        <v>0</v>
      </c>
      <c r="M704" s="76">
        <f>[1]!'@CTA[8-2-6-1-2-1221,J,7,#6]'</f>
        <v>0</v>
      </c>
      <c r="N704" s="74">
        <f>[1]!'@CTA[8-2-7-1-2-1221,F,7,#6]'</f>
        <v>0</v>
      </c>
      <c r="O704" s="66">
        <f t="shared" si="46"/>
        <v>0</v>
      </c>
    </row>
    <row r="705" spans="1:15" ht="240" x14ac:dyDescent="0.2">
      <c r="A705" s="67" t="s">
        <v>298</v>
      </c>
      <c r="B705" s="61" t="s">
        <v>152</v>
      </c>
      <c r="C705" s="61" t="s">
        <v>149</v>
      </c>
      <c r="D705" s="62" t="s">
        <v>299</v>
      </c>
      <c r="E705" s="71" t="s">
        <v>153</v>
      </c>
      <c r="F705" s="72">
        <v>1311</v>
      </c>
      <c r="G705" s="73" t="s">
        <v>157</v>
      </c>
      <c r="H705" s="74">
        <f>[1]!'@CTA[8-2-1-1-3-1311,F,7,#6]'</f>
        <v>0</v>
      </c>
      <c r="I705" s="74">
        <f>[1]!'@CTA[8-2-3-1-3-1311,F,7,#6]'</f>
        <v>0</v>
      </c>
      <c r="J705" s="75">
        <f>[1]!'@CTA[8-2-1-1-3-1311,F,7,#6]'+[1]!'@CTA[8-2-3-1-3-1311,F,7,#6]'</f>
        <v>0</v>
      </c>
      <c r="K705" s="76">
        <f>[1]!'@CTA[8-2-4-1-3-1311,J,7,#6]'</f>
        <v>0</v>
      </c>
      <c r="L705" s="76">
        <f>[1]!'@CTA[8-2-5-1-3-1311,J,7,#6]'</f>
        <v>0</v>
      </c>
      <c r="M705" s="76">
        <f>[1]!'@CTA[8-2-6-1-3-1311,J,7,#6]'</f>
        <v>0</v>
      </c>
      <c r="N705" s="74">
        <f>[1]!'@CTA[8-2-7-1-3-1311,F,7,#6]'</f>
        <v>0</v>
      </c>
      <c r="O705" s="66">
        <f t="shared" si="46"/>
        <v>0</v>
      </c>
    </row>
    <row r="706" spans="1:15" ht="240" x14ac:dyDescent="0.2">
      <c r="A706" s="67" t="s">
        <v>298</v>
      </c>
      <c r="B706" s="61" t="s">
        <v>152</v>
      </c>
      <c r="C706" s="61" t="s">
        <v>149</v>
      </c>
      <c r="D706" s="62" t="s">
        <v>299</v>
      </c>
      <c r="E706" s="71" t="s">
        <v>153</v>
      </c>
      <c r="F706" s="72">
        <v>1321</v>
      </c>
      <c r="G706" s="73" t="s">
        <v>158</v>
      </c>
      <c r="H706" s="74">
        <f>[1]!'@CTA[8-2-1-1-3-1321,F,7,#6]'</f>
        <v>22659</v>
      </c>
      <c r="I706" s="74">
        <f>[1]!'@CTA[8-2-3-1-3-1321,F,7,#6]'</f>
        <v>0</v>
      </c>
      <c r="J706" s="75">
        <f>[1]!'@CTA[8-2-1-1-3-1321,F,7,#6]'+[1]!'@CTA[8-2-3-1-3-1321,F,7,#6]'</f>
        <v>22659</v>
      </c>
      <c r="K706" s="76">
        <f>[1]!'@CTA[8-2-4-1-3-1321,J,7,#6]'</f>
        <v>9115.5</v>
      </c>
      <c r="L706" s="76">
        <f>[1]!'@CTA[8-2-5-1-3-1321,J,7,#6]'</f>
        <v>9115.5</v>
      </c>
      <c r="M706" s="76">
        <f>[1]!'@CTA[8-2-6-1-3-1321,J,7,#6]'</f>
        <v>9115.5</v>
      </c>
      <c r="N706" s="74">
        <f>[1]!'@CTA[8-2-7-1-3-1321,F,7,#6]'</f>
        <v>8454.1999999999971</v>
      </c>
      <c r="O706" s="66">
        <f t="shared" si="46"/>
        <v>13543.5</v>
      </c>
    </row>
    <row r="707" spans="1:15" ht="240" x14ac:dyDescent="0.2">
      <c r="A707" s="67" t="s">
        <v>298</v>
      </c>
      <c r="B707" s="61" t="s">
        <v>152</v>
      </c>
      <c r="C707" s="61" t="s">
        <v>149</v>
      </c>
      <c r="D707" s="62" t="s">
        <v>299</v>
      </c>
      <c r="E707" s="71" t="s">
        <v>153</v>
      </c>
      <c r="F707" s="72">
        <v>1322</v>
      </c>
      <c r="G707" s="73" t="s">
        <v>159</v>
      </c>
      <c r="H707" s="74">
        <f>[1]!'@CTA[8-2-1-1-3-1322,F,7,#6]'</f>
        <v>29448</v>
      </c>
      <c r="I707" s="74">
        <f>[1]!'@CTA[8-2-3-1-3-1322,F,7,#6]'</f>
        <v>2.1849189124623081E-13</v>
      </c>
      <c r="J707" s="75">
        <f>[1]!'@CTA[8-2-1-1-3-1322,F,7,#6]'+[1]!'@CTA[8-2-3-1-3-1322,F,7,#6]'</f>
        <v>29448</v>
      </c>
      <c r="K707" s="76">
        <f>[1]!'@CTA[8-2-4-1-3-1322,J,7,#6]'</f>
        <v>4983.8500000000004</v>
      </c>
      <c r="L707" s="76">
        <f>[1]!'@CTA[8-2-5-1-3-1322,J,7,#6]'</f>
        <v>4983.8500000000004</v>
      </c>
      <c r="M707" s="76">
        <f>[1]!'@CTA[8-2-6-1-3-1322,J,7,#6]'</f>
        <v>4983.8500000000004</v>
      </c>
      <c r="N707" s="74">
        <f>[1]!'@CTA[8-2-7-1-3-1322,F,7,#6]'</f>
        <v>4983.8499999999858</v>
      </c>
      <c r="O707" s="66">
        <f t="shared" si="46"/>
        <v>24464.15</v>
      </c>
    </row>
    <row r="708" spans="1:15" ht="240" x14ac:dyDescent="0.2">
      <c r="A708" s="67" t="s">
        <v>298</v>
      </c>
      <c r="B708" s="61" t="s">
        <v>152</v>
      </c>
      <c r="C708" s="61" t="s">
        <v>149</v>
      </c>
      <c r="D708" s="62" t="s">
        <v>299</v>
      </c>
      <c r="E708" s="71" t="s">
        <v>153</v>
      </c>
      <c r="F708" s="72">
        <v>1323</v>
      </c>
      <c r="G708" s="73" t="s">
        <v>160</v>
      </c>
      <c r="H708" s="74">
        <f>[1]!'@CTA[8-2-1-1-3-1323,F,7,#6]'</f>
        <v>116659</v>
      </c>
      <c r="I708" s="74">
        <f>[1]!'@CTA[8-2-3-1-3-1323,F,7,#6]'</f>
        <v>0</v>
      </c>
      <c r="J708" s="75">
        <f>[1]!'@CTA[8-2-1-1-3-1323,F,7,#6]'+[1]!'@CTA[8-2-3-1-3-1323,F,7,#6]'</f>
        <v>116659</v>
      </c>
      <c r="K708" s="76">
        <f>[1]!'@CTA[8-2-4-1-3-1323,J,7,#6]'</f>
        <v>0</v>
      </c>
      <c r="L708" s="76">
        <f>[1]!'@CTA[8-2-5-1-3-1323,J,7,#6]'</f>
        <v>0</v>
      </c>
      <c r="M708" s="76">
        <f>[1]!'@CTA[8-2-6-1-3-1323,J,7,#6]'</f>
        <v>0</v>
      </c>
      <c r="N708" s="74">
        <f>[1]!'@CTA[8-2-7-1-3-1323,F,7,#6]'</f>
        <v>0</v>
      </c>
      <c r="O708" s="66">
        <f t="shared" si="46"/>
        <v>116659</v>
      </c>
    </row>
    <row r="709" spans="1:15" ht="240" x14ac:dyDescent="0.2">
      <c r="A709" s="67" t="s">
        <v>298</v>
      </c>
      <c r="B709" s="61" t="s">
        <v>152</v>
      </c>
      <c r="C709" s="61" t="s">
        <v>149</v>
      </c>
      <c r="D709" s="62" t="s">
        <v>299</v>
      </c>
      <c r="E709" s="71" t="s">
        <v>153</v>
      </c>
      <c r="F709" s="72">
        <v>1331</v>
      </c>
      <c r="G709" s="73" t="s">
        <v>161</v>
      </c>
      <c r="H709" s="74">
        <f>[1]!'@CTA[8-2-1-1-3-1331,F,7,#6]'</f>
        <v>0</v>
      </c>
      <c r="I709" s="74">
        <f>[1]!'@CTA[8-2-3-1-3-1331,F,7,#6]'</f>
        <v>0</v>
      </c>
      <c r="J709" s="75">
        <f>[1]!'@CTA[8-2-1-1-3-1331,F,7,#6]'+[1]!'@CTA[8-2-3-1-3-1331,F,7,#6]'</f>
        <v>0</v>
      </c>
      <c r="K709" s="76">
        <f>[1]!'@CTA[8-2-4-1-3-1331,J,7,#6]'</f>
        <v>316.74</v>
      </c>
      <c r="L709" s="76">
        <f>[1]!'@CTA[8-2-5-1-3-1331,J,7,#6]'</f>
        <v>316.74</v>
      </c>
      <c r="M709" s="76">
        <f>[1]!'@CTA[8-2-6-1-3-1331,J,7,#6]'</f>
        <v>316.74</v>
      </c>
      <c r="N709" s="74">
        <f>[1]!'@CTA[8-2-7-1-3-1331,F,7,#6]'</f>
        <v>316.74000000000206</v>
      </c>
      <c r="O709" s="66">
        <f t="shared" si="46"/>
        <v>-316.74</v>
      </c>
    </row>
    <row r="710" spans="1:15" ht="240" x14ac:dyDescent="0.2">
      <c r="A710" s="67" t="s">
        <v>298</v>
      </c>
      <c r="B710" s="61" t="s">
        <v>152</v>
      </c>
      <c r="C710" s="61" t="s">
        <v>149</v>
      </c>
      <c r="D710" s="62" t="s">
        <v>299</v>
      </c>
      <c r="E710" s="71" t="s">
        <v>153</v>
      </c>
      <c r="F710" s="72">
        <v>1341</v>
      </c>
      <c r="G710" s="73" t="s">
        <v>162</v>
      </c>
      <c r="H710" s="74">
        <f>[1]!'@CTA[8-2-1-1-3-1341,F,7,#6]'</f>
        <v>25644</v>
      </c>
      <c r="I710" s="74">
        <f>[1]!'@CTA[8-2-3-1-3-1341,F,7,#6]'</f>
        <v>0</v>
      </c>
      <c r="J710" s="75">
        <f>[1]!'@CTA[8-2-1-1-3-1341,F,7,#6]'+[1]!'@CTA[8-2-3-1-3-1341,F,7,#6]'</f>
        <v>25644</v>
      </c>
      <c r="K710" s="76">
        <f>[1]!'@CTA[8-2-4-1-3-1341,J,7,#6]'</f>
        <v>0</v>
      </c>
      <c r="L710" s="76">
        <f>[1]!'@CTA[8-2-5-1-3-1341,J,7,#6]'</f>
        <v>0</v>
      </c>
      <c r="M710" s="76">
        <f>[1]!'@CTA[8-2-6-1-3-1341,J,7,#6]'</f>
        <v>0</v>
      </c>
      <c r="N710" s="74">
        <f>[1]!'@CTA[8-2-7-1-3-1341,F,7,#6]'</f>
        <v>0</v>
      </c>
      <c r="O710" s="66">
        <f t="shared" si="46"/>
        <v>25644</v>
      </c>
    </row>
    <row r="711" spans="1:15" ht="240" x14ac:dyDescent="0.2">
      <c r="A711" s="67" t="s">
        <v>298</v>
      </c>
      <c r="B711" s="61" t="s">
        <v>163</v>
      </c>
      <c r="C711" s="61" t="s">
        <v>149</v>
      </c>
      <c r="D711" s="62" t="s">
        <v>299</v>
      </c>
      <c r="E711" s="71" t="s">
        <v>164</v>
      </c>
      <c r="F711" s="72">
        <v>1411</v>
      </c>
      <c r="G711" s="73" t="s">
        <v>165</v>
      </c>
      <c r="H711" s="74">
        <f>[1]!'@CTA[8-2-1-1-4-1411,F,7,#6]'</f>
        <v>172354</v>
      </c>
      <c r="I711" s="74">
        <f>[1]!'@CTA[8-2-3-1-4-1411,F,7,#6]'</f>
        <v>9326.32</v>
      </c>
      <c r="J711" s="75">
        <f>[1]!'@CTA[8-2-1-1-4-1411,F,7,#6]'+[1]!'@CTA[8-2-3-1-4-1411,F,7,#6]'</f>
        <v>181680.32</v>
      </c>
      <c r="K711" s="76">
        <f>[1]!'@CTA[8-2-4-1-4-1411,J,7,#6]'</f>
        <v>29820.93</v>
      </c>
      <c r="L711" s="76">
        <f>[1]!'@CTA[8-2-5-1-4-1411,J,7,#6]'</f>
        <v>29820.93</v>
      </c>
      <c r="M711" s="76">
        <f>[1]!'@CTA[8-2-6-1-4-1411,J,7,#6]'</f>
        <v>29820.93</v>
      </c>
      <c r="N711" s="74">
        <f>[1]!'@CTA[8-2-7-1-4-1411,F,7,#6]'</f>
        <v>20207.429999999986</v>
      </c>
      <c r="O711" s="66">
        <f t="shared" si="46"/>
        <v>151859.39000000001</v>
      </c>
    </row>
    <row r="712" spans="1:15" ht="240" x14ac:dyDescent="0.2">
      <c r="A712" s="67" t="s">
        <v>298</v>
      </c>
      <c r="B712" s="61" t="s">
        <v>163</v>
      </c>
      <c r="C712" s="61" t="s">
        <v>149</v>
      </c>
      <c r="D712" s="62" t="s">
        <v>299</v>
      </c>
      <c r="E712" s="71" t="s">
        <v>164</v>
      </c>
      <c r="F712" s="72">
        <v>1421</v>
      </c>
      <c r="G712" s="73" t="s">
        <v>166</v>
      </c>
      <c r="H712" s="74">
        <f>[1]!'@CTA[8-2-1-1-4-1421,F,7,#6]'</f>
        <v>87159</v>
      </c>
      <c r="I712" s="74">
        <f>[1]!'@CTA[8-2-3-1-4-1421,F,7,#6]'</f>
        <v>8447.75</v>
      </c>
      <c r="J712" s="75">
        <f>[1]!'@CTA[8-2-1-1-4-1421,F,7,#6]'+[1]!'@CTA[8-2-3-1-4-1421,F,7,#6]'</f>
        <v>95606.75</v>
      </c>
      <c r="K712" s="76">
        <f>[1]!'@CTA[8-2-4-1-4-1421,J,7,#6]'</f>
        <v>10045.67</v>
      </c>
      <c r="L712" s="76">
        <f>[1]!'@CTA[8-2-5-1-4-1421,J,7,#6]'</f>
        <v>10045.67</v>
      </c>
      <c r="M712" s="76">
        <f>[1]!'@CTA[8-2-6-1-4-1421,J,7,#6]'</f>
        <v>10045.67</v>
      </c>
      <c r="N712" s="74">
        <f>[1]!'@CTA[8-2-7-1-4-1421,F,7,#6]'</f>
        <v>10045.669999999996</v>
      </c>
      <c r="O712" s="66">
        <f t="shared" ref="O712:O776" si="51">J712-L712</f>
        <v>85561.08</v>
      </c>
    </row>
    <row r="713" spans="1:15" ht="240" x14ac:dyDescent="0.2">
      <c r="A713" s="67" t="s">
        <v>298</v>
      </c>
      <c r="B713" s="61" t="s">
        <v>163</v>
      </c>
      <c r="C713" s="61" t="s">
        <v>149</v>
      </c>
      <c r="D713" s="62" t="s">
        <v>299</v>
      </c>
      <c r="E713" s="71" t="s">
        <v>164</v>
      </c>
      <c r="F713" s="72">
        <v>1431</v>
      </c>
      <c r="G713" s="73" t="s">
        <v>167</v>
      </c>
      <c r="H713" s="74">
        <f>[1]!'@CTA[8-2-1-1-4-1431,F,7,#6]'</f>
        <v>89773</v>
      </c>
      <c r="I713" s="74">
        <f>[1]!'@CTA[8-2-3-1-4-1431,F,7,#6]'</f>
        <v>8701.2000000000007</v>
      </c>
      <c r="J713" s="75">
        <f>[1]!'@CTA[8-2-1-1-4-1431,F,7,#6]'+[1]!'@CTA[8-2-3-1-4-1431,F,7,#6]'</f>
        <v>98474.2</v>
      </c>
      <c r="K713" s="76">
        <f>[1]!'@CTA[8-2-4-1-4-1431,J,7,#6]'</f>
        <v>10347.02</v>
      </c>
      <c r="L713" s="76">
        <f>[1]!'@CTA[8-2-5-1-4-1431,J,7,#6]'</f>
        <v>10347.02</v>
      </c>
      <c r="M713" s="76">
        <f>[1]!'@CTA[8-2-6-1-4-1431,J,7,#6]'</f>
        <v>10347.02</v>
      </c>
      <c r="N713" s="74">
        <f>[1]!'@CTA[8-2-7-1-4-1431,F,7,#6]'</f>
        <v>10347.02</v>
      </c>
      <c r="O713" s="66">
        <f t="shared" si="51"/>
        <v>88127.18</v>
      </c>
    </row>
    <row r="714" spans="1:15" ht="240" x14ac:dyDescent="0.2">
      <c r="A714" s="67" t="s">
        <v>298</v>
      </c>
      <c r="B714" s="61" t="s">
        <v>163</v>
      </c>
      <c r="C714" s="61" t="s">
        <v>149</v>
      </c>
      <c r="D714" s="62" t="s">
        <v>299</v>
      </c>
      <c r="E714" s="71" t="s">
        <v>164</v>
      </c>
      <c r="F714" s="72">
        <v>1441</v>
      </c>
      <c r="G714" s="73" t="s">
        <v>168</v>
      </c>
      <c r="H714" s="74">
        <f>[1]!'@CTA[8-2-1-1-4-1441,F,7,#6]'</f>
        <v>6101</v>
      </c>
      <c r="I714" s="74">
        <f>[1]!'@CTA[8-2-3-1-4-1441,F,7,#6]'</f>
        <v>0</v>
      </c>
      <c r="J714" s="75">
        <f>[1]!'@CTA[8-2-1-1-4-1441,F,7,#6]'+[1]!'@CTA[8-2-3-1-4-1441,F,7,#6]'</f>
        <v>6101</v>
      </c>
      <c r="K714" s="76">
        <f>[1]!'@CTA[8-2-4-1-4-1441,J,7,#6]'</f>
        <v>1337.1100000000001</v>
      </c>
      <c r="L714" s="76">
        <f>[1]!'@CTA[8-2-5-1-4-1441,J,7,#6]'</f>
        <v>1337.1100000000001</v>
      </c>
      <c r="M714" s="76">
        <f>[1]!'@CTA[8-2-6-1-4-1441,J,7,#6]'</f>
        <v>1337.1100000000001</v>
      </c>
      <c r="N714" s="74">
        <f>[1]!'@CTA[8-2-7-1-4-1441,F,7,#6]'</f>
        <v>1337.1099999999992</v>
      </c>
      <c r="O714" s="66">
        <f t="shared" si="51"/>
        <v>4763.8899999999994</v>
      </c>
    </row>
    <row r="715" spans="1:15" ht="240" x14ac:dyDescent="0.2">
      <c r="A715" s="67" t="s">
        <v>298</v>
      </c>
      <c r="B715" s="61" t="s">
        <v>169</v>
      </c>
      <c r="C715" s="61" t="s">
        <v>149</v>
      </c>
      <c r="D715" s="62" t="s">
        <v>299</v>
      </c>
      <c r="E715" s="71" t="s">
        <v>153</v>
      </c>
      <c r="F715" s="72">
        <v>1521</v>
      </c>
      <c r="G715" s="73" t="s">
        <v>170</v>
      </c>
      <c r="H715" s="74">
        <f>[1]!'@CTA[8-2-1-1-5-1521,F,7,#6]'</f>
        <v>0</v>
      </c>
      <c r="I715" s="74">
        <f>[1]!'@CTA[8-2-3-1-5-1521,F,7,#6]'</f>
        <v>0</v>
      </c>
      <c r="J715" s="75">
        <f>[1]!'@CTA[8-2-1-1-5-1521,F,7,#6]'+[1]!'@CTA[8-2-3-1-5-1521,F,7,#6]'</f>
        <v>0</v>
      </c>
      <c r="K715" s="76">
        <f>[1]!'@CTA[8-2-4-1-5-1521,J,7,#6]'</f>
        <v>0</v>
      </c>
      <c r="L715" s="76">
        <f>[1]!'@CTA[8-2-5-1-5-1521,J,7,#6]'</f>
        <v>0</v>
      </c>
      <c r="M715" s="76">
        <f>[1]!'@CTA[8-2-6-1-5-1521,J,7,#6]'</f>
        <v>0</v>
      </c>
      <c r="N715" s="74">
        <f>[1]!'@CTA[8-2-7-1-5-1521,F,7,#6]'</f>
        <v>0</v>
      </c>
      <c r="O715" s="66">
        <f t="shared" si="51"/>
        <v>0</v>
      </c>
    </row>
    <row r="716" spans="1:15" ht="240" x14ac:dyDescent="0.2">
      <c r="A716" s="67" t="s">
        <v>298</v>
      </c>
      <c r="B716" s="61" t="s">
        <v>152</v>
      </c>
      <c r="C716" s="61" t="s">
        <v>149</v>
      </c>
      <c r="D716" s="62" t="s">
        <v>299</v>
      </c>
      <c r="E716" s="71" t="s">
        <v>153</v>
      </c>
      <c r="F716" s="72">
        <v>1522</v>
      </c>
      <c r="G716" s="73" t="s">
        <v>171</v>
      </c>
      <c r="H716" s="74">
        <f>[1]!'@CTA[8-2-1-1-5-1522,F,7,#6]'</f>
        <v>0</v>
      </c>
      <c r="I716" s="74">
        <f>[1]!'@CTA[8-2-3-1-5-1522,F,7,#6]'</f>
        <v>0</v>
      </c>
      <c r="J716" s="75">
        <f>[1]!'@CTA[8-2-1-1-5-1522,F,7,#6]'+[1]!'@CTA[8-2-3-1-5-1522,F,7,#6]'</f>
        <v>0</v>
      </c>
      <c r="K716" s="76">
        <f>[1]!'@CTA[8-2-4-1-5-1522,J,7,#6]'</f>
        <v>0</v>
      </c>
      <c r="L716" s="76">
        <f>[1]!'@CTA[8-2-5-1-5-1522,J,7,#6]'</f>
        <v>0</v>
      </c>
      <c r="M716" s="76">
        <f>[1]!'@CTA[8-2-6-1-5-1522,J,7,#6]'</f>
        <v>0</v>
      </c>
      <c r="N716" s="74">
        <f>[1]!'@CTA[8-2-7-1-5-1522,F,7,#6]'</f>
        <v>0</v>
      </c>
      <c r="O716" s="66">
        <f t="shared" si="51"/>
        <v>0</v>
      </c>
    </row>
    <row r="717" spans="1:15" ht="240" x14ac:dyDescent="0.2">
      <c r="A717" s="67" t="s">
        <v>298</v>
      </c>
      <c r="B717" s="61" t="s">
        <v>152</v>
      </c>
      <c r="C717" s="61" t="s">
        <v>149</v>
      </c>
      <c r="D717" s="62" t="s">
        <v>299</v>
      </c>
      <c r="E717" s="71" t="s">
        <v>153</v>
      </c>
      <c r="F717" s="72">
        <v>1541</v>
      </c>
      <c r="G717" s="73" t="s">
        <v>172</v>
      </c>
      <c r="H717" s="74">
        <f>[1]!'@CTA[8-2-1-1-5-1541,F,7,#6]'</f>
        <v>202653</v>
      </c>
      <c r="I717" s="74">
        <f>[1]!'@CTA[8-2-3-1-5-1541,F,7,#6]'</f>
        <v>0</v>
      </c>
      <c r="J717" s="75">
        <f>[1]!'@CTA[8-2-1-1-5-1541,F,7,#6]'+[1]!'@CTA[8-2-3-1-5-1541,F,7,#6]'</f>
        <v>202653</v>
      </c>
      <c r="K717" s="76">
        <f>[1]!'@CTA[8-2-4-1-5-1541,J,7,#6]'</f>
        <v>51148.490000000005</v>
      </c>
      <c r="L717" s="76">
        <f>[1]!'@CTA[8-2-5-1-5-1541,J,7,#6]'</f>
        <v>51148.490000000005</v>
      </c>
      <c r="M717" s="76">
        <f>[1]!'@CTA[8-2-6-1-5-1541,J,7,#6]'</f>
        <v>51148.490000000005</v>
      </c>
      <c r="N717" s="74">
        <f>[1]!'@CTA[8-2-7-1-5-1541,F,7,#6]'</f>
        <v>51148.490000000063</v>
      </c>
      <c r="O717" s="66">
        <f t="shared" si="51"/>
        <v>151504.51</v>
      </c>
    </row>
    <row r="718" spans="1:15" ht="240" x14ac:dyDescent="0.2">
      <c r="A718" s="67" t="s">
        <v>298</v>
      </c>
      <c r="B718" s="61" t="s">
        <v>152</v>
      </c>
      <c r="C718" s="61" t="s">
        <v>149</v>
      </c>
      <c r="D718" s="62" t="s">
        <v>299</v>
      </c>
      <c r="E718" s="71" t="s">
        <v>153</v>
      </c>
      <c r="F718" s="72">
        <v>1542</v>
      </c>
      <c r="G718" s="73" t="s">
        <v>173</v>
      </c>
      <c r="H718" s="74">
        <f>[1]!'@CTA[8-2-1-1-5-1542,F,7,#6]'</f>
        <v>71802</v>
      </c>
      <c r="I718" s="74">
        <f>[1]!'@CTA[8-2-3-1-5-1542,F,7,#6]'</f>
        <v>0</v>
      </c>
      <c r="J718" s="75">
        <f>[1]!'@CTA[8-2-1-1-5-1542,F,7,#6]'+[1]!'@CTA[8-2-3-1-5-1542,F,7,#6]'</f>
        <v>71802</v>
      </c>
      <c r="K718" s="76">
        <f>[1]!'@CTA[8-2-4-1-5-1542,J,7,#6]'</f>
        <v>24374.03</v>
      </c>
      <c r="L718" s="76">
        <f>[1]!'@CTA[8-2-5-1-5-1542,J,7,#6]'</f>
        <v>24374.03</v>
      </c>
      <c r="M718" s="76">
        <f>[1]!'@CTA[8-2-6-1-5-1542,J,7,#6]'</f>
        <v>24374.03</v>
      </c>
      <c r="N718" s="74">
        <f>[1]!'@CTA[8-2-7-1-5-1542,F,7,#6]'</f>
        <v>16539.910000000007</v>
      </c>
      <c r="O718" s="66">
        <f t="shared" si="51"/>
        <v>47427.97</v>
      </c>
    </row>
    <row r="719" spans="1:15" ht="240" x14ac:dyDescent="0.2">
      <c r="A719" s="67" t="s">
        <v>298</v>
      </c>
      <c r="B719" s="61" t="s">
        <v>152</v>
      </c>
      <c r="C719" s="61" t="s">
        <v>149</v>
      </c>
      <c r="D719" s="62" t="s">
        <v>299</v>
      </c>
      <c r="E719" s="71" t="s">
        <v>153</v>
      </c>
      <c r="F719" s="72">
        <v>1543</v>
      </c>
      <c r="G719" s="73" t="s">
        <v>174</v>
      </c>
      <c r="H719" s="74">
        <f>[1]!'@CTA[8-2-1-1-5-1543,F,7,#6]'</f>
        <v>0</v>
      </c>
      <c r="I719" s="74">
        <f>[1]!'@CTA[8-2-3-1-5-1543,F,7,#6]'</f>
        <v>0</v>
      </c>
      <c r="J719" s="75">
        <f>[1]!'@CTA[8-2-1-1-5-1543,F,7,#6]'+[1]!'@CTA[8-2-3-1-5-1543,F,7,#6]'</f>
        <v>0</v>
      </c>
      <c r="K719" s="76">
        <f>[1]!'@CTA[8-2-4-1-5-1543,J,7,#6]'</f>
        <v>0</v>
      </c>
      <c r="L719" s="76">
        <f>[1]!'@CTA[8-2-5-1-5-1543,J,7,#6]'</f>
        <v>0</v>
      </c>
      <c r="M719" s="76">
        <f>[1]!'@CTA[8-2-6-1-5-1543,J,7,#6]'</f>
        <v>0</v>
      </c>
      <c r="N719" s="74">
        <f>[1]!'@CTA[8-2-7-1-5-1543,F,7,#6]'</f>
        <v>0</v>
      </c>
      <c r="O719" s="66">
        <f t="shared" si="51"/>
        <v>0</v>
      </c>
    </row>
    <row r="720" spans="1:15" ht="240" x14ac:dyDescent="0.2">
      <c r="A720" s="67" t="s">
        <v>298</v>
      </c>
      <c r="B720" s="61" t="s">
        <v>152</v>
      </c>
      <c r="C720" s="61" t="s">
        <v>149</v>
      </c>
      <c r="D720" s="62" t="s">
        <v>299</v>
      </c>
      <c r="E720" s="71" t="s">
        <v>153</v>
      </c>
      <c r="F720" s="72">
        <v>1544</v>
      </c>
      <c r="G720" s="73" t="s">
        <v>175</v>
      </c>
      <c r="H720" s="74">
        <f>[1]!'@CTA[8-2-1-1-5-1544,F,7,#6]'</f>
        <v>0</v>
      </c>
      <c r="I720" s="74">
        <f>[1]!'@CTA[8-2-3-1-5-1544,F,7,#6]'</f>
        <v>0</v>
      </c>
      <c r="J720" s="75">
        <f>[1]!'@CTA[8-2-1-1-5-1544,F,7,#6]'+[1]!'@CTA[8-2-3-1-5-1544,F,7,#6]'</f>
        <v>0</v>
      </c>
      <c r="K720" s="76">
        <f>[1]!'@CTA[8-2-4-1-5-1544,J,7,#6]'</f>
        <v>700</v>
      </c>
      <c r="L720" s="76">
        <f>[1]!'@CTA[8-2-5-1-5-1544,J,7,#6]'</f>
        <v>700</v>
      </c>
      <c r="M720" s="76">
        <f>[1]!'@CTA[8-2-6-1-5-1544,J,7,#6]'</f>
        <v>700</v>
      </c>
      <c r="N720" s="74">
        <f>[1]!'@CTA[8-2-7-1-5-1544,F,7,#6]'</f>
        <v>700</v>
      </c>
      <c r="O720" s="66">
        <f t="shared" si="51"/>
        <v>-700</v>
      </c>
    </row>
    <row r="721" spans="1:15" ht="240" x14ac:dyDescent="0.2">
      <c r="A721" s="67" t="s">
        <v>298</v>
      </c>
      <c r="B721" s="61"/>
      <c r="C721" s="61" t="s">
        <v>149</v>
      </c>
      <c r="D721" s="62" t="s">
        <v>299</v>
      </c>
      <c r="E721" s="61"/>
      <c r="F721" s="63">
        <v>2000</v>
      </c>
      <c r="G721" s="77" t="s">
        <v>176</v>
      </c>
      <c r="H721" s="69">
        <f t="shared" ref="H721:N721" si="52">SUBTOTAL(9,H722:H747)</f>
        <v>551010</v>
      </c>
      <c r="I721" s="69">
        <f t="shared" si="52"/>
        <v>1.546140993013978E-11</v>
      </c>
      <c r="J721" s="69">
        <f t="shared" si="52"/>
        <v>551010</v>
      </c>
      <c r="K721" s="70">
        <f t="shared" si="52"/>
        <v>38515.859999999993</v>
      </c>
      <c r="L721" s="70">
        <f t="shared" si="52"/>
        <v>38515.859999999993</v>
      </c>
      <c r="M721" s="70">
        <f t="shared" si="52"/>
        <v>38515.859999999993</v>
      </c>
      <c r="N721" s="69">
        <f t="shared" si="52"/>
        <v>36960.299999999959</v>
      </c>
      <c r="O721" s="66">
        <f t="shared" si="51"/>
        <v>512494.14</v>
      </c>
    </row>
    <row r="722" spans="1:15" ht="240" x14ac:dyDescent="0.2">
      <c r="A722" s="67" t="s">
        <v>298</v>
      </c>
      <c r="B722" s="61" t="s">
        <v>152</v>
      </c>
      <c r="C722" s="61" t="s">
        <v>149</v>
      </c>
      <c r="D722" s="62" t="s">
        <v>299</v>
      </c>
      <c r="E722" s="71" t="s">
        <v>177</v>
      </c>
      <c r="F722" s="72">
        <v>2111</v>
      </c>
      <c r="G722" s="73" t="s">
        <v>178</v>
      </c>
      <c r="H722" s="74">
        <f>[1]!'@CTA[8-2-1-2-1-2111,F,7,#6]'</f>
        <v>1744</v>
      </c>
      <c r="I722" s="74">
        <f>[1]!'@CTA[8-2-3-2-1-2111,F,7,#6]'</f>
        <v>0</v>
      </c>
      <c r="J722" s="75">
        <f>[1]!'@CTA[8-2-1-2-1-2111,F,7,#6]'+[1]!'@CTA[8-2-3-2-1-2111,F,7,#6]'</f>
        <v>1744</v>
      </c>
      <c r="K722" s="76">
        <f>[1]!'@CTA[8-2-4-2-1-2111,J,7,#6]'</f>
        <v>267.67</v>
      </c>
      <c r="L722" s="76">
        <f>[1]!'@CTA[8-2-5-2-1-2111,J,7,#6]'</f>
        <v>267.67</v>
      </c>
      <c r="M722" s="76">
        <f>[1]!'@CTA[8-2-6-2-1-2111,J,7,#6]'</f>
        <v>267.67</v>
      </c>
      <c r="N722" s="74">
        <f>[1]!'@CTA[8-2-7-2-1-2111,F,7,#6]'</f>
        <v>267.67000000000093</v>
      </c>
      <c r="O722" s="66">
        <f t="shared" si="51"/>
        <v>1476.33</v>
      </c>
    </row>
    <row r="723" spans="1:15" ht="240" x14ac:dyDescent="0.2">
      <c r="A723" s="67" t="s">
        <v>298</v>
      </c>
      <c r="B723" s="61" t="s">
        <v>152</v>
      </c>
      <c r="C723" s="61" t="s">
        <v>149</v>
      </c>
      <c r="D723" s="62" t="s">
        <v>299</v>
      </c>
      <c r="E723" s="71" t="s">
        <v>177</v>
      </c>
      <c r="F723" s="72">
        <v>2121</v>
      </c>
      <c r="G723" s="73" t="s">
        <v>179</v>
      </c>
      <c r="H723" s="74">
        <f>[1]!'@CTA[8-2-1-2-1-2121,F,7,#6]'</f>
        <v>396</v>
      </c>
      <c r="I723" s="74">
        <f>[1]!'@CTA[8-2-3-2-1-2121,F,7,#6]'</f>
        <v>0</v>
      </c>
      <c r="J723" s="75">
        <f>[1]!'@CTA[8-2-1-2-1-2121,F,7,#6]'+[1]!'@CTA[8-2-3-2-1-2121,F,7,#6]'</f>
        <v>396</v>
      </c>
      <c r="K723" s="76">
        <f>[1]!'@CTA[8-2-4-2-1-2121,J,7,#6]'</f>
        <v>42.8</v>
      </c>
      <c r="L723" s="76">
        <f>[1]!'@CTA[8-2-5-2-1-2121,J,7,#6]'</f>
        <v>42.8</v>
      </c>
      <c r="M723" s="76">
        <f>[1]!'@CTA[8-2-6-2-1-2121,J,7,#6]'</f>
        <v>42.8</v>
      </c>
      <c r="N723" s="74">
        <f>[1]!'@CTA[8-2-7-2-1-2121,F,7,#6]'</f>
        <v>42.79999999999994</v>
      </c>
      <c r="O723" s="66">
        <f t="shared" si="51"/>
        <v>353.2</v>
      </c>
    </row>
    <row r="724" spans="1:15" ht="240" x14ac:dyDescent="0.2">
      <c r="A724" s="67" t="s">
        <v>298</v>
      </c>
      <c r="B724" s="61" t="s">
        <v>152</v>
      </c>
      <c r="C724" s="61" t="s">
        <v>149</v>
      </c>
      <c r="D724" s="62" t="s">
        <v>299</v>
      </c>
      <c r="E724" s="71" t="s">
        <v>177</v>
      </c>
      <c r="F724" s="72">
        <v>2131</v>
      </c>
      <c r="G724" s="73" t="s">
        <v>180</v>
      </c>
      <c r="H724" s="74">
        <f>[1]!'@CTA[8-2-1-2-1-2131,F,7,#6]'</f>
        <v>0</v>
      </c>
      <c r="I724" s="74">
        <f>[1]!'@CTA[8-2-3-2-1-2131,F,7,#6]'</f>
        <v>0</v>
      </c>
      <c r="J724" s="75">
        <f>[1]!'@CTA[8-2-1-2-1-2131,F,7,#6]'+[1]!'@CTA[8-2-3-2-1-2131,F,7,#6]'</f>
        <v>0</v>
      </c>
      <c r="K724" s="76">
        <f>[1]!'@CTA[8-2-4-2-1-2131,J,7,#6]'</f>
        <v>0</v>
      </c>
      <c r="L724" s="76">
        <f>[1]!'@CTA[8-2-5-2-1-2131,J,7,#6]'</f>
        <v>0</v>
      </c>
      <c r="M724" s="76">
        <f>[1]!'@CTA[8-2-6-2-1-2131,J,7,#6]'</f>
        <v>0</v>
      </c>
      <c r="N724" s="74">
        <f>[1]!'@CTA[8-2-7-2-1-2131,F,7,#6]'</f>
        <v>0</v>
      </c>
      <c r="O724" s="66">
        <f t="shared" si="51"/>
        <v>0</v>
      </c>
    </row>
    <row r="725" spans="1:15" ht="240" x14ac:dyDescent="0.2">
      <c r="A725" s="67" t="s">
        <v>298</v>
      </c>
      <c r="B725" s="61" t="s">
        <v>152</v>
      </c>
      <c r="C725" s="61" t="s">
        <v>149</v>
      </c>
      <c r="D725" s="62" t="s">
        <v>299</v>
      </c>
      <c r="E725" s="71" t="s">
        <v>177</v>
      </c>
      <c r="F725" s="72">
        <v>2141</v>
      </c>
      <c r="G725" s="73" t="s">
        <v>181</v>
      </c>
      <c r="H725" s="74">
        <f>[1]!'@CTA[8-2-1-2-1-2141,F,7,#6]'</f>
        <v>390</v>
      </c>
      <c r="I725" s="74">
        <f>[1]!'@CTA[8-2-3-2-1-2141,F,7,#6]'</f>
        <v>0</v>
      </c>
      <c r="J725" s="75">
        <f>[1]!'@CTA[8-2-1-2-1-2141,F,7,#6]'+[1]!'@CTA[8-2-3-2-1-2141,F,7,#6]'</f>
        <v>390</v>
      </c>
      <c r="K725" s="76">
        <f>[1]!'@CTA[8-2-4-2-1-2141,J,7,#6]'</f>
        <v>0</v>
      </c>
      <c r="L725" s="76">
        <f>[1]!'@CTA[8-2-5-2-1-2141,J,7,#6]'</f>
        <v>0</v>
      </c>
      <c r="M725" s="76">
        <f>[1]!'@CTA[8-2-6-2-1-2141,J,7,#6]'</f>
        <v>0</v>
      </c>
      <c r="N725" s="74">
        <f>[1]!'@CTA[8-2-7-2-1-2141,F,7,#6]'</f>
        <v>0</v>
      </c>
      <c r="O725" s="66">
        <f t="shared" si="51"/>
        <v>390</v>
      </c>
    </row>
    <row r="726" spans="1:15" ht="240" x14ac:dyDescent="0.2">
      <c r="A726" s="67" t="s">
        <v>298</v>
      </c>
      <c r="B726" s="61" t="s">
        <v>152</v>
      </c>
      <c r="C726" s="61" t="s">
        <v>149</v>
      </c>
      <c r="D726" s="62" t="s">
        <v>299</v>
      </c>
      <c r="E726" s="71" t="s">
        <v>177</v>
      </c>
      <c r="F726" s="72">
        <v>2151</v>
      </c>
      <c r="G726" s="73" t="s">
        <v>182</v>
      </c>
      <c r="H726" s="74">
        <f>[1]!'@CTA[8-2-1-2-1-2151,F,7,#6]'</f>
        <v>0</v>
      </c>
      <c r="I726" s="74">
        <f>[1]!'@CTA[8-2-3-2-1-2151,F,7,#6]'</f>
        <v>0</v>
      </c>
      <c r="J726" s="75">
        <f>[1]!'@CTA[8-2-1-2-1-2151,F,7,#6]'+[1]!'@CTA[8-2-3-2-1-2151,F,7,#6]'</f>
        <v>0</v>
      </c>
      <c r="K726" s="76">
        <f>[1]!'@CTA[8-2-4-2-1-2151,J,7,#6]'</f>
        <v>0</v>
      </c>
      <c r="L726" s="76">
        <f>[1]!'@CTA[8-2-5-2-1-2151,J,7,#6]'</f>
        <v>0</v>
      </c>
      <c r="M726" s="76">
        <f>[1]!'@CTA[8-2-6-2-1-2151,J,7,#6]'</f>
        <v>0</v>
      </c>
      <c r="N726" s="74">
        <f>[1]!'@CTA[8-2-7-2-1-2151,F,7,#6]'</f>
        <v>0</v>
      </c>
      <c r="O726" s="66">
        <f t="shared" si="51"/>
        <v>0</v>
      </c>
    </row>
    <row r="727" spans="1:15" ht="240" x14ac:dyDescent="0.2">
      <c r="A727" s="67" t="s">
        <v>298</v>
      </c>
      <c r="B727" s="61" t="s">
        <v>152</v>
      </c>
      <c r="C727" s="61" t="s">
        <v>149</v>
      </c>
      <c r="D727" s="62" t="s">
        <v>299</v>
      </c>
      <c r="E727" s="71" t="s">
        <v>177</v>
      </c>
      <c r="F727" s="72">
        <v>2161</v>
      </c>
      <c r="G727" s="73" t="s">
        <v>183</v>
      </c>
      <c r="H727" s="74">
        <f>[1]!'@CTA[8-2-1-2-1-2161,F,7,#6]'</f>
        <v>9144</v>
      </c>
      <c r="I727" s="74">
        <f>[1]!'@CTA[8-2-3-2-1-2161,F,7,#6]'</f>
        <v>0</v>
      </c>
      <c r="J727" s="75">
        <f>[1]!'@CTA[8-2-1-2-1-2161,F,7,#6]'+[1]!'@CTA[8-2-3-2-1-2161,F,7,#6]'</f>
        <v>9144</v>
      </c>
      <c r="K727" s="76">
        <f>[1]!'@CTA[8-2-4-2-1-2161,J,7,#6]'</f>
        <v>1199.49</v>
      </c>
      <c r="L727" s="76">
        <f>[1]!'@CTA[8-2-5-2-1-2161,J,7,#6]'</f>
        <v>1199.49</v>
      </c>
      <c r="M727" s="76">
        <f>[1]!'@CTA[8-2-6-2-1-2161,J,7,#6]'</f>
        <v>1199.49</v>
      </c>
      <c r="N727" s="74">
        <f>[1]!'@CTA[8-2-7-2-1-2161,F,7,#6]'</f>
        <v>1199.4900000000009</v>
      </c>
      <c r="O727" s="66">
        <f t="shared" si="51"/>
        <v>7944.51</v>
      </c>
    </row>
    <row r="728" spans="1:15" ht="240" x14ac:dyDescent="0.2">
      <c r="A728" s="67" t="s">
        <v>298</v>
      </c>
      <c r="B728" s="61" t="s">
        <v>152</v>
      </c>
      <c r="C728" s="61" t="s">
        <v>149</v>
      </c>
      <c r="D728" s="62" t="s">
        <v>299</v>
      </c>
      <c r="E728" s="71" t="s">
        <v>177</v>
      </c>
      <c r="F728" s="72">
        <v>2171</v>
      </c>
      <c r="G728" s="73" t="s">
        <v>184</v>
      </c>
      <c r="H728" s="74">
        <f>[1]!'@CTA[8-2-1-2-1-2171,F,7,#6]'</f>
        <v>0</v>
      </c>
      <c r="I728" s="74">
        <f>[1]!'@CTA[8-2-3-2-1-2171,F,7,#6]'</f>
        <v>0</v>
      </c>
      <c r="J728" s="75">
        <f>[1]!'@CTA[8-2-1-2-1-2171,F,7,#6]'+[1]!'@CTA[8-2-3-2-1-2171,F,7,#6]'</f>
        <v>0</v>
      </c>
      <c r="K728" s="76">
        <f>[1]!'@CTA[8-2-4-2-1-2171,J,7,#6]'</f>
        <v>0</v>
      </c>
      <c r="L728" s="76">
        <f>[1]!'@CTA[8-2-5-2-1-2171,J,7,#6]'</f>
        <v>0</v>
      </c>
      <c r="M728" s="76">
        <f>[1]!'@CTA[8-2-6-2-1-2171,J,7,#6]'</f>
        <v>0</v>
      </c>
      <c r="N728" s="74">
        <f>[1]!'@CTA[8-2-7-2-1-2171,F,7,#6]'</f>
        <v>0</v>
      </c>
      <c r="O728" s="66">
        <f t="shared" si="51"/>
        <v>0</v>
      </c>
    </row>
    <row r="729" spans="1:15" ht="240" x14ac:dyDescent="0.2">
      <c r="A729" s="67" t="s">
        <v>298</v>
      </c>
      <c r="B729" s="61" t="s">
        <v>152</v>
      </c>
      <c r="C729" s="61" t="s">
        <v>149</v>
      </c>
      <c r="D729" s="62" t="s">
        <v>299</v>
      </c>
      <c r="E729" s="71" t="s">
        <v>177</v>
      </c>
      <c r="F729" s="72">
        <v>2211</v>
      </c>
      <c r="G729" s="73" t="s">
        <v>185</v>
      </c>
      <c r="H729" s="74">
        <f>[1]!'@CTA[8-2-1-2-2-2211,F,7,#6]'</f>
        <v>0</v>
      </c>
      <c r="I729" s="74">
        <f>[1]!'@CTA[8-2-3-2-2-2211,F,7,#6]'</f>
        <v>0</v>
      </c>
      <c r="J729" s="75">
        <f>[1]!'@CTA[8-2-1-2-2-2211,F,7,#6]'+[1]!'@CTA[8-2-3-2-2-2211,F,7,#6]'</f>
        <v>0</v>
      </c>
      <c r="K729" s="76">
        <f>[1]!'@CTA[8-2-4-2-2-2211,J,7,#6]'</f>
        <v>0</v>
      </c>
      <c r="L729" s="76">
        <f>[1]!'@CTA[8-2-5-2-2-2211,J,7,#6]'</f>
        <v>0</v>
      </c>
      <c r="M729" s="76">
        <f>[1]!'@CTA[8-2-6-2-2-2211,J,7,#6]'</f>
        <v>0</v>
      </c>
      <c r="N729" s="74">
        <f>[1]!'@CTA[8-2-7-2-2-2211,F,7,#6]'</f>
        <v>1.1368683772161603E-13</v>
      </c>
      <c r="O729" s="66">
        <f t="shared" si="51"/>
        <v>0</v>
      </c>
    </row>
    <row r="730" spans="1:15" ht="240" x14ac:dyDescent="0.2">
      <c r="A730" s="67" t="s">
        <v>298</v>
      </c>
      <c r="B730" s="61" t="s">
        <v>152</v>
      </c>
      <c r="C730" s="61" t="s">
        <v>149</v>
      </c>
      <c r="D730" s="62" t="s">
        <v>299</v>
      </c>
      <c r="E730" s="71" t="s">
        <v>177</v>
      </c>
      <c r="F730" s="72">
        <v>2221</v>
      </c>
      <c r="G730" s="73" t="s">
        <v>284</v>
      </c>
      <c r="H730" s="74">
        <f>[1]!'@CTA[8-2-1-2-2-2221,F,7,#6]'</f>
        <v>4200</v>
      </c>
      <c r="I730" s="74">
        <f>[1]!'@CTA[8-2-3-2-2-2221,F,7,#6]'</f>
        <v>0</v>
      </c>
      <c r="J730" s="75">
        <f>[1]!'@CTA[8-2-1-2-2-2221,F,7,#6]'+[1]!'@CTA[8-2-3-2-2-2211,F,7,#6]'</f>
        <v>4200</v>
      </c>
      <c r="K730" s="76">
        <f>[1]!'@CTA[8-2-4-2-2-2221,J,7,#6]'</f>
        <v>545.68000000000006</v>
      </c>
      <c r="L730" s="76">
        <f>[1]!'@CTA[8-2-5-2-2-2221,J,7,#6]'</f>
        <v>545.68000000000006</v>
      </c>
      <c r="M730" s="76">
        <f>[1]!'@CTA[8-2-6-2-2-2221,J,7,#6]'</f>
        <v>545.68000000000006</v>
      </c>
      <c r="N730" s="74">
        <f>[1]!'@CTA[8-2-7-2-2-2221,F,7,#6]'</f>
        <v>545.67999999999961</v>
      </c>
      <c r="O730" s="66">
        <f>J730-L730</f>
        <v>3654.3199999999997</v>
      </c>
    </row>
    <row r="731" spans="1:15" ht="240" x14ac:dyDescent="0.2">
      <c r="A731" s="67" t="s">
        <v>298</v>
      </c>
      <c r="B731" s="61" t="s">
        <v>152</v>
      </c>
      <c r="C731" s="61" t="s">
        <v>149</v>
      </c>
      <c r="D731" s="62" t="s">
        <v>299</v>
      </c>
      <c r="E731" s="71" t="s">
        <v>177</v>
      </c>
      <c r="F731" s="72">
        <v>2231</v>
      </c>
      <c r="G731" s="73" t="s">
        <v>186</v>
      </c>
      <c r="H731" s="74">
        <f>[1]!'@CTA[8-2-1-2-2-2231,F,7,#6]'</f>
        <v>1008</v>
      </c>
      <c r="I731" s="74">
        <f>[1]!'@CTA[8-2-3-2-2-2231,F,7,#6]'</f>
        <v>0</v>
      </c>
      <c r="J731" s="75">
        <f>[1]!'@CTA[8-2-1-2-2-2231,F,7,#6]'+[1]!'@CTA[8-2-3-2-2-2231,F,7,#6]'</f>
        <v>1008</v>
      </c>
      <c r="K731" s="76">
        <f>[1]!'@CTA[8-2-4-2-2-2231,J,7,#6]'</f>
        <v>386.16999999999996</v>
      </c>
      <c r="L731" s="76">
        <f>[1]!'@CTA[8-2-5-2-2-2231,J,7,#6]'</f>
        <v>386.16999999999996</v>
      </c>
      <c r="M731" s="76">
        <f>[1]!'@CTA[8-2-6-2-2-2231,J,7,#6]'</f>
        <v>386.16999999999996</v>
      </c>
      <c r="N731" s="74">
        <f>[1]!'@CTA[8-2-7-2-2-2231,F,7,#6]'</f>
        <v>326.94999999999976</v>
      </c>
      <c r="O731" s="66">
        <f t="shared" si="51"/>
        <v>621.83000000000004</v>
      </c>
    </row>
    <row r="732" spans="1:15" ht="240" x14ac:dyDescent="0.2">
      <c r="A732" s="67" t="s">
        <v>298</v>
      </c>
      <c r="B732" s="61" t="s">
        <v>152</v>
      </c>
      <c r="C732" s="61" t="s">
        <v>149</v>
      </c>
      <c r="D732" s="62" t="s">
        <v>299</v>
      </c>
      <c r="E732" s="71" t="s">
        <v>177</v>
      </c>
      <c r="F732" s="72">
        <v>2411</v>
      </c>
      <c r="G732" s="73" t="s">
        <v>187</v>
      </c>
      <c r="H732" s="74">
        <f>[1]!'@CTA[8-2-1-2-4-2411,F,7,#6]'</f>
        <v>28000</v>
      </c>
      <c r="I732" s="74">
        <f>[1]!'@CTA[8-2-3-2-4-2411,F,7,#6]'</f>
        <v>0</v>
      </c>
      <c r="J732" s="75">
        <f>[1]!'@CTA[8-2-1-2-4-2411,F,7,#6]'+[1]!'@CTA[8-2-3-2-4-2411,F,7,#6]'</f>
        <v>28000</v>
      </c>
      <c r="K732" s="76">
        <f>[1]!'@CTA[8-2-4-2-4-2411,J,7,#6]'</f>
        <v>0</v>
      </c>
      <c r="L732" s="76">
        <f>[1]!'@CTA[8-2-5-2-4-2411,J,7,#6]'</f>
        <v>0</v>
      </c>
      <c r="M732" s="76">
        <f>[1]!'@CTA[8-2-6-2-4-2411,J,7,#6]'</f>
        <v>0</v>
      </c>
      <c r="N732" s="74">
        <f>[1]!'@CTA[8-2-7-2-4-2411,F,7,#6]'</f>
        <v>0</v>
      </c>
      <c r="O732" s="66">
        <f t="shared" si="51"/>
        <v>28000</v>
      </c>
    </row>
    <row r="733" spans="1:15" ht="240" x14ac:dyDescent="0.2">
      <c r="A733" s="67" t="s">
        <v>298</v>
      </c>
      <c r="B733" s="61" t="s">
        <v>152</v>
      </c>
      <c r="C733" s="61" t="s">
        <v>149</v>
      </c>
      <c r="D733" s="62" t="s">
        <v>299</v>
      </c>
      <c r="E733" s="71" t="s">
        <v>177</v>
      </c>
      <c r="F733" s="72">
        <v>2461</v>
      </c>
      <c r="G733" s="73" t="s">
        <v>188</v>
      </c>
      <c r="H733" s="74">
        <f>[1]!'@CTA[8-2-1-2-4-2461,F,7,#6]'</f>
        <v>1920</v>
      </c>
      <c r="I733" s="74">
        <f>[1]!'@CTA[8-2-3-2-4-2461,F,7,#6]'</f>
        <v>0</v>
      </c>
      <c r="J733" s="75">
        <f>[1]!'@CTA[8-2-1-2-4-2461,F,7,#6]'+[1]!'@CTA[8-2-3-2-4-2461,F,7,#6]'</f>
        <v>1920</v>
      </c>
      <c r="K733" s="76">
        <f>[1]!'@CTA[8-2-4-2-4-2461,J,7,#6]'</f>
        <v>32.74</v>
      </c>
      <c r="L733" s="76">
        <f>[1]!'@CTA[8-2-5-2-4-2461,J,7,#6]'</f>
        <v>32.74</v>
      </c>
      <c r="M733" s="76">
        <f>[1]!'@CTA[8-2-6-2-4-2461,J,7,#6]'</f>
        <v>32.74</v>
      </c>
      <c r="N733" s="74">
        <f>[1]!'@CTA[8-2-7-2-4-2461,F,7,#6]'</f>
        <v>32.739999999999888</v>
      </c>
      <c r="O733" s="66">
        <f t="shared" si="51"/>
        <v>1887.26</v>
      </c>
    </row>
    <row r="734" spans="1:15" ht="240" x14ac:dyDescent="0.2">
      <c r="A734" s="67" t="s">
        <v>298</v>
      </c>
      <c r="B734" s="61" t="s">
        <v>152</v>
      </c>
      <c r="C734" s="61" t="s">
        <v>149</v>
      </c>
      <c r="D734" s="62" t="s">
        <v>299</v>
      </c>
      <c r="E734" s="71" t="s">
        <v>177</v>
      </c>
      <c r="F734" s="72">
        <v>2471</v>
      </c>
      <c r="G734" s="73" t="s">
        <v>189</v>
      </c>
      <c r="H734" s="74">
        <f>[1]!'@CTA[8-2-1-2-4-2471,F,7,#6]'</f>
        <v>65000</v>
      </c>
      <c r="I734" s="74">
        <f>[1]!'@CTA[8-2-3-2-4-2471,F,7,#6]'</f>
        <v>2.1827872842550278E-11</v>
      </c>
      <c r="J734" s="75">
        <f>[1]!'@CTA[8-2-1-2-4-2471,F,7,#6]'+[1]!'@CTA[8-2-3-2-4-2471,F,7,#6]'</f>
        <v>65000.000000000022</v>
      </c>
      <c r="K734" s="76">
        <f>[1]!'@CTA[8-2-4-2-4-2471,J,7,#6]'</f>
        <v>9080</v>
      </c>
      <c r="L734" s="76">
        <f>[1]!'@CTA[8-2-5-2-4-2471,J,7,#6]'</f>
        <v>9080</v>
      </c>
      <c r="M734" s="76">
        <f>[1]!'@CTA[8-2-6-2-4-2471,J,7,#6]'</f>
        <v>9080</v>
      </c>
      <c r="N734" s="74">
        <f>[1]!'@CTA[8-2-7-2-4-2471,F,7,#6]'</f>
        <v>9079.9999999999418</v>
      </c>
      <c r="O734" s="66">
        <f t="shared" si="51"/>
        <v>55920.000000000022</v>
      </c>
    </row>
    <row r="735" spans="1:15" ht="240" x14ac:dyDescent="0.2">
      <c r="A735" s="67" t="s">
        <v>298</v>
      </c>
      <c r="B735" s="61" t="s">
        <v>152</v>
      </c>
      <c r="C735" s="61" t="s">
        <v>149</v>
      </c>
      <c r="D735" s="62" t="s">
        <v>299</v>
      </c>
      <c r="E735" s="71" t="s">
        <v>177</v>
      </c>
      <c r="F735" s="72">
        <v>2481</v>
      </c>
      <c r="G735" s="73" t="s">
        <v>190</v>
      </c>
      <c r="H735" s="74">
        <f>[1]!'@CTA[8-2-1-2-4-2481,F,7,#6]'</f>
        <v>0</v>
      </c>
      <c r="I735" s="74">
        <f>[1]!'@CTA[8-2-3-2-4-2481,F,7,#6]'</f>
        <v>0</v>
      </c>
      <c r="J735" s="75">
        <f>[1]!'@CTA[8-2-1-2-4-2481,F,7,#6]'+[1]!'@CTA[8-2-3-2-4-2481,F,7,#6]'</f>
        <v>0</v>
      </c>
      <c r="K735" s="76">
        <f>[1]!'@CTA[8-2-4-2-4-2481,J,7,#6]'</f>
        <v>0</v>
      </c>
      <c r="L735" s="76">
        <f>[1]!'@CTA[8-2-5-2-4-2481,J,7,#6]'</f>
        <v>0</v>
      </c>
      <c r="M735" s="76">
        <f>[1]!'@CTA[8-2-6-2-4-2481,J,7,#6]'</f>
        <v>0</v>
      </c>
      <c r="N735" s="74">
        <f>[1]!'@CTA[8-2-7-2-4-2481,F,7,#6]'</f>
        <v>0</v>
      </c>
      <c r="O735" s="66">
        <f t="shared" si="51"/>
        <v>0</v>
      </c>
    </row>
    <row r="736" spans="1:15" ht="240" x14ac:dyDescent="0.2">
      <c r="A736" s="67" t="s">
        <v>298</v>
      </c>
      <c r="B736" s="61" t="s">
        <v>152</v>
      </c>
      <c r="C736" s="61" t="s">
        <v>149</v>
      </c>
      <c r="D736" s="62" t="s">
        <v>299</v>
      </c>
      <c r="E736" s="71" t="s">
        <v>177</v>
      </c>
      <c r="F736" s="72">
        <v>2491</v>
      </c>
      <c r="G736" s="73" t="s">
        <v>191</v>
      </c>
      <c r="H736" s="74">
        <f>[1]!'@CTA[8-2-1-2-4-2491,F,7,#6]'</f>
        <v>0</v>
      </c>
      <c r="I736" s="74">
        <f>[1]!'@CTA[8-2-3-2-4-2491,F,7,#6]'</f>
        <v>0</v>
      </c>
      <c r="J736" s="75">
        <f>[1]!'@CTA[8-2-1-2-4-2491,F,7,#6]'+[1]!'@CTA[8-2-3-2-4-2491,F,7,#6]'</f>
        <v>0</v>
      </c>
      <c r="K736" s="76">
        <f>[1]!'@CTA[8-2-4-2-4-2491,J,7,#6]'</f>
        <v>0</v>
      </c>
      <c r="L736" s="76">
        <f>[1]!'@CTA[8-2-5-2-4-2491,J,7,#6]'</f>
        <v>0</v>
      </c>
      <c r="M736" s="76">
        <f>[1]!'@CTA[8-2-6-2-4-2491,J,7,#6]'</f>
        <v>0</v>
      </c>
      <c r="N736" s="74">
        <f>[1]!'@CTA[8-2-7-2-4-2491,F,7,#6]'</f>
        <v>0</v>
      </c>
      <c r="O736" s="66">
        <f t="shared" si="51"/>
        <v>0</v>
      </c>
    </row>
    <row r="737" spans="1:15" ht="240" x14ac:dyDescent="0.2">
      <c r="A737" s="67" t="s">
        <v>298</v>
      </c>
      <c r="B737" s="61" t="s">
        <v>152</v>
      </c>
      <c r="C737" s="61" t="s">
        <v>149</v>
      </c>
      <c r="D737" s="62" t="s">
        <v>299</v>
      </c>
      <c r="E737" s="71" t="s">
        <v>177</v>
      </c>
      <c r="F737" s="72">
        <v>2492</v>
      </c>
      <c r="G737" s="73" t="s">
        <v>192</v>
      </c>
      <c r="H737" s="74">
        <f>[1]!'@CTA[8-2-1-2-4-2492,F,7,#6]'</f>
        <v>250000</v>
      </c>
      <c r="I737" s="74">
        <f>[1]!'@CTA[8-2-3-2-4-2492,F,7,#6]'</f>
        <v>0</v>
      </c>
      <c r="J737" s="75">
        <f>[1]!'@CTA[8-2-1-2-4-2492,F,7,#6]'+[1]!'@CTA[8-2-3-2-4-2492,F,7,#6]'</f>
        <v>250000</v>
      </c>
      <c r="K737" s="76">
        <f>[1]!'@CTA[8-2-4-2-4-2492,J,7,#6]'</f>
        <v>0</v>
      </c>
      <c r="L737" s="76">
        <f>[1]!'@CTA[8-2-5-2-4-2492,J,7,#6]'</f>
        <v>0</v>
      </c>
      <c r="M737" s="76">
        <f>[1]!'@CTA[8-2-6-2-4-2492,J,7,#6]'</f>
        <v>0</v>
      </c>
      <c r="N737" s="74">
        <f>[1]!'@CTA[8-2-7-2-4-2492,F,7,#6]'</f>
        <v>0</v>
      </c>
      <c r="O737" s="66">
        <f t="shared" si="51"/>
        <v>250000</v>
      </c>
    </row>
    <row r="738" spans="1:15" ht="240" x14ac:dyDescent="0.2">
      <c r="A738" s="67" t="s">
        <v>298</v>
      </c>
      <c r="B738" s="61" t="s">
        <v>152</v>
      </c>
      <c r="C738" s="61" t="s">
        <v>149</v>
      </c>
      <c r="D738" s="62" t="s">
        <v>299</v>
      </c>
      <c r="E738" s="71" t="s">
        <v>177</v>
      </c>
      <c r="F738" s="72">
        <v>2531</v>
      </c>
      <c r="G738" s="73" t="s">
        <v>193</v>
      </c>
      <c r="H738" s="74">
        <f>[1]!'@CTA[8-2-1-2-5-2531,F,7,#6]'</f>
        <v>0</v>
      </c>
      <c r="I738" s="74">
        <f>[1]!'@CTA[8-2-3-2-5-2531,F,7,#6]'</f>
        <v>0</v>
      </c>
      <c r="J738" s="75">
        <f>[1]!'@CTA[8-2-1-2-5-2531,F,7,#6]'+[1]!'@CTA[8-2-3-2-5-2531,F,7,#6]'</f>
        <v>0</v>
      </c>
      <c r="K738" s="76">
        <f>[1]!'@CTA[8-2-4-2-5-2531,J,7,#6]'</f>
        <v>0</v>
      </c>
      <c r="L738" s="76">
        <f>[1]!'@CTA[8-2-5-2-5-2531,J,7,#6]'</f>
        <v>0</v>
      </c>
      <c r="M738" s="76">
        <f>[1]!'@CTA[8-2-6-2-5-2531,J,7,#6]'</f>
        <v>0</v>
      </c>
      <c r="N738" s="74">
        <f>[1]!'@CTA[8-2-7-2-5-2531,F,7,#6]'</f>
        <v>-1.1368683772161603E-13</v>
      </c>
      <c r="O738" s="66">
        <f t="shared" si="51"/>
        <v>0</v>
      </c>
    </row>
    <row r="739" spans="1:15" ht="240" x14ac:dyDescent="0.2">
      <c r="A739" s="67" t="s">
        <v>298</v>
      </c>
      <c r="B739" s="61" t="s">
        <v>152</v>
      </c>
      <c r="C739" s="61" t="s">
        <v>149</v>
      </c>
      <c r="D739" s="62" t="s">
        <v>299</v>
      </c>
      <c r="E739" s="71" t="s">
        <v>177</v>
      </c>
      <c r="F739" s="72">
        <v>2551</v>
      </c>
      <c r="G739" s="73" t="s">
        <v>194</v>
      </c>
      <c r="H739" s="74">
        <f>[1]!'@CTA[8-2-1-2-5-2551,F,7,#6]'</f>
        <v>0</v>
      </c>
      <c r="I739" s="74">
        <f>[1]!'@CTA[8-2-3-2-5-2551,F,7,#6]'</f>
        <v>0</v>
      </c>
      <c r="J739" s="75">
        <f>[1]!'@CTA[8-2-1-2-5-2551,F,7,#6]'+[1]!'@CTA[8-2-3-2-5-2551,F,7,#6]'</f>
        <v>0</v>
      </c>
      <c r="K739" s="76">
        <f>[1]!'@CTA[8-2-4-2-5-2551,J,7,#6]'</f>
        <v>0</v>
      </c>
      <c r="L739" s="76">
        <f>[1]!'@CTA[8-2-5-2-5-2551,J,7,#6]'</f>
        <v>0</v>
      </c>
      <c r="M739" s="76">
        <f>[1]!'@CTA[8-2-6-2-5-2551,J,7,#6]'</f>
        <v>0</v>
      </c>
      <c r="N739" s="74">
        <f>[1]!'@CTA[8-2-7-2-5-2551,F,7,#6]'</f>
        <v>7.2759576141834259E-12</v>
      </c>
      <c r="O739" s="66">
        <f t="shared" si="51"/>
        <v>0</v>
      </c>
    </row>
    <row r="740" spans="1:15" ht="240" x14ac:dyDescent="0.2">
      <c r="A740" s="67" t="s">
        <v>298</v>
      </c>
      <c r="B740" s="61" t="s">
        <v>152</v>
      </c>
      <c r="C740" s="61" t="s">
        <v>149</v>
      </c>
      <c r="D740" s="62" t="s">
        <v>299</v>
      </c>
      <c r="E740" s="71" t="s">
        <v>177</v>
      </c>
      <c r="F740" s="72">
        <v>2591</v>
      </c>
      <c r="G740" s="73" t="s">
        <v>195</v>
      </c>
      <c r="H740" s="74">
        <f>[1]!'@CTA[8-2-1-2-5-2591,F,7,#6]'</f>
        <v>68147</v>
      </c>
      <c r="I740" s="74">
        <f>[1]!'@CTA[8-2-3-2-5-2591,F,7,#6]'</f>
        <v>-7.2759576141834259E-12</v>
      </c>
      <c r="J740" s="75">
        <f>[1]!'@CTA[8-2-1-2-5-2591,F,7,#6]'+[1]!'@CTA[8-2-3-2-5-2591,F,7,#6]'</f>
        <v>68147</v>
      </c>
      <c r="K740" s="76">
        <f>[1]!'@CTA[8-2-4-2-5-2591,J,7,#6]'</f>
        <v>26.94</v>
      </c>
      <c r="L740" s="76">
        <f>[1]!'@CTA[8-2-5-2-5-2591,J,7,#6]'</f>
        <v>26.94</v>
      </c>
      <c r="M740" s="76">
        <f>[1]!'@CTA[8-2-6-2-5-2591,J,7,#6]'</f>
        <v>26.94</v>
      </c>
      <c r="N740" s="74">
        <f>[1]!'@CTA[8-2-7-2-5-2591,F,7,#6]'</f>
        <v>1.8189894035458565E-12</v>
      </c>
      <c r="O740" s="66">
        <f t="shared" si="51"/>
        <v>68120.06</v>
      </c>
    </row>
    <row r="741" spans="1:15" ht="240" x14ac:dyDescent="0.2">
      <c r="A741" s="67" t="s">
        <v>298</v>
      </c>
      <c r="B741" s="61" t="s">
        <v>152</v>
      </c>
      <c r="C741" s="61" t="s">
        <v>149</v>
      </c>
      <c r="D741" s="62" t="s">
        <v>299</v>
      </c>
      <c r="E741" s="71" t="s">
        <v>177</v>
      </c>
      <c r="F741" s="72">
        <v>2611</v>
      </c>
      <c r="G741" s="73" t="s">
        <v>196</v>
      </c>
      <c r="H741" s="74">
        <f>[1]!'@CTA[8-2-1-2-6-2611,F,7,#6]'</f>
        <v>29273</v>
      </c>
      <c r="I741" s="74">
        <f>[1]!'@CTA[8-2-3-2-6-2611,F,7,#6]'</f>
        <v>0</v>
      </c>
      <c r="J741" s="75">
        <f>[1]!'@CTA[8-2-1-2-6-2611,F,7,#6]'+[1]!'@CTA[8-2-3-2-6-2611,F,7,#6]'</f>
        <v>29273</v>
      </c>
      <c r="K741" s="76">
        <f>[1]!'@CTA[8-2-4-2-6-2611,J,7,#6]'</f>
        <v>7670.68</v>
      </c>
      <c r="L741" s="76">
        <f>[1]!'@CTA[8-2-5-2-6-2611,J,7,#6]'</f>
        <v>7670.68</v>
      </c>
      <c r="M741" s="76">
        <f>[1]!'@CTA[8-2-6-2-6-2611,J,7,#6]'</f>
        <v>7670.68</v>
      </c>
      <c r="N741" s="74">
        <f>[1]!'@CTA[8-2-7-2-6-2611,F,7,#6]'</f>
        <v>6751.28</v>
      </c>
      <c r="O741" s="66">
        <f t="shared" si="51"/>
        <v>21602.32</v>
      </c>
    </row>
    <row r="742" spans="1:15" ht="240" x14ac:dyDescent="0.2">
      <c r="A742" s="67" t="s">
        <v>298</v>
      </c>
      <c r="B742" s="61" t="s">
        <v>152</v>
      </c>
      <c r="C742" s="61" t="s">
        <v>149</v>
      </c>
      <c r="D742" s="62" t="s">
        <v>299</v>
      </c>
      <c r="E742" s="71" t="s">
        <v>177</v>
      </c>
      <c r="F742" s="72">
        <v>2612</v>
      </c>
      <c r="G742" s="73" t="s">
        <v>197</v>
      </c>
      <c r="H742" s="74">
        <f>[1]!'@CTA[8-2-1-2-6-2612,F,7,#6]'</f>
        <v>14013</v>
      </c>
      <c r="I742" s="74">
        <f>[1]!'@CTA[8-2-3-2-6-2612,F,7,#6]'</f>
        <v>0</v>
      </c>
      <c r="J742" s="75">
        <f>[1]!'@CTA[8-2-1-2-6-2612,F,7,#6]'+[1]!'@CTA[8-2-3-2-6-2612,F,7,#6]'</f>
        <v>14013</v>
      </c>
      <c r="K742" s="76">
        <f>[1]!'@CTA[8-2-4-2-6-2612,J,7,#6]'</f>
        <v>3890.4300000000003</v>
      </c>
      <c r="L742" s="76">
        <f>[1]!'@CTA[8-2-5-2-6-2612,J,7,#6]'</f>
        <v>3890.4300000000003</v>
      </c>
      <c r="M742" s="76">
        <f>[1]!'@CTA[8-2-6-2-6-2612,J,7,#6]'</f>
        <v>3890.4300000000003</v>
      </c>
      <c r="N742" s="74">
        <f>[1]!'@CTA[8-2-7-2-6-2612,F,7,#6]'</f>
        <v>3340.4299999999994</v>
      </c>
      <c r="O742" s="66">
        <f t="shared" si="51"/>
        <v>10122.57</v>
      </c>
    </row>
    <row r="743" spans="1:15" ht="240" x14ac:dyDescent="0.2">
      <c r="A743" s="67" t="s">
        <v>298</v>
      </c>
      <c r="B743" s="61" t="s">
        <v>152</v>
      </c>
      <c r="C743" s="61" t="s">
        <v>149</v>
      </c>
      <c r="D743" s="62" t="s">
        <v>299</v>
      </c>
      <c r="E743" s="71" t="s">
        <v>177</v>
      </c>
      <c r="F743" s="72">
        <v>2711</v>
      </c>
      <c r="G743" s="73" t="s">
        <v>198</v>
      </c>
      <c r="H743" s="74">
        <f>[1]!'@CTA[8-2-1-2-7-2711,F,7,#6]'</f>
        <v>1200</v>
      </c>
      <c r="I743" s="74">
        <f>[1]!'@CTA[8-2-3-2-7-2711,F,7,#6]'</f>
        <v>0</v>
      </c>
      <c r="J743" s="75">
        <f>[1]!'@CTA[8-2-1-2-7-2711,F,7,#6]'+[1]!'@CTA[8-2-3-2-7-2711,F,7,#6]'</f>
        <v>1200</v>
      </c>
      <c r="K743" s="76">
        <f>[1]!'@CTA[8-2-4-2-7-2711,J,7,#6]'</f>
        <v>856.02</v>
      </c>
      <c r="L743" s="76">
        <f>[1]!'@CTA[8-2-5-2-7-2711,J,7,#6]'</f>
        <v>856.02</v>
      </c>
      <c r="M743" s="76">
        <f>[1]!'@CTA[8-2-6-2-7-2711,J,7,#6]'</f>
        <v>856.02</v>
      </c>
      <c r="N743" s="74">
        <f>[1]!'@CTA[8-2-7-2-7-2711,F,7,#6]'</f>
        <v>856.02</v>
      </c>
      <c r="O743" s="66">
        <f t="shared" si="51"/>
        <v>343.98</v>
      </c>
    </row>
    <row r="744" spans="1:15" ht="240" x14ac:dyDescent="0.2">
      <c r="A744" s="67" t="s">
        <v>298</v>
      </c>
      <c r="B744" s="61" t="s">
        <v>152</v>
      </c>
      <c r="C744" s="61" t="s">
        <v>149</v>
      </c>
      <c r="D744" s="62" t="s">
        <v>299</v>
      </c>
      <c r="E744" s="71" t="s">
        <v>177</v>
      </c>
      <c r="F744" s="72">
        <v>2712</v>
      </c>
      <c r="G744" s="73" t="s">
        <v>199</v>
      </c>
      <c r="H744" s="74">
        <f>[1]!'@CTA[8-2-1-2-7-2712,F,7,#6]'</f>
        <v>50344</v>
      </c>
      <c r="I744" s="74">
        <f>[1]!'@CTA[8-2-3-2-7-2712,F,7,#6]'</f>
        <v>0</v>
      </c>
      <c r="J744" s="75">
        <f>[1]!'@CTA[8-2-1-2-7-2712,F,7,#6]'+[1]!'@CTA[8-2-3-2-7-2712,F,7,#6]'</f>
        <v>50344</v>
      </c>
      <c r="K744" s="76">
        <f>[1]!'@CTA[8-2-4-2-7-2712,J,7,#6]'</f>
        <v>12808</v>
      </c>
      <c r="L744" s="76">
        <f>[1]!'@CTA[8-2-5-2-7-2712,J,7,#6]'</f>
        <v>12808</v>
      </c>
      <c r="M744" s="76">
        <f>[1]!'@CTA[8-2-6-2-7-2712,J,7,#6]'</f>
        <v>12808</v>
      </c>
      <c r="N744" s="74">
        <f>[1]!'@CTA[8-2-7-2-7-2712,F,7,#6]'</f>
        <v>12807.999999999996</v>
      </c>
      <c r="O744" s="66">
        <f t="shared" si="51"/>
        <v>37536</v>
      </c>
    </row>
    <row r="745" spans="1:15" ht="240" x14ac:dyDescent="0.2">
      <c r="A745" s="67" t="s">
        <v>298</v>
      </c>
      <c r="B745" s="61" t="s">
        <v>152</v>
      </c>
      <c r="C745" s="61" t="s">
        <v>149</v>
      </c>
      <c r="D745" s="62" t="s">
        <v>299</v>
      </c>
      <c r="E745" s="71" t="s">
        <v>177</v>
      </c>
      <c r="F745" s="72">
        <v>2721</v>
      </c>
      <c r="G745" s="73" t="s">
        <v>200</v>
      </c>
      <c r="H745" s="74">
        <f>[1]!'@CTA[8-2-1-2-7-2721,F,7,#6]'</f>
        <v>11242</v>
      </c>
      <c r="I745" s="74">
        <f>[1]!'@CTA[8-2-3-2-7-2721,F,7,#6]'</f>
        <v>0</v>
      </c>
      <c r="J745" s="75">
        <f>[1]!'@CTA[8-2-1-2-7-2721,F,7,#6]'+[1]!'@CTA[8-2-3-2-7-2721,F,7,#6]'</f>
        <v>11242</v>
      </c>
      <c r="K745" s="76">
        <f>[1]!'@CTA[8-2-4-2-7-2721,J,7,#6]'</f>
        <v>544.22</v>
      </c>
      <c r="L745" s="76">
        <f>[1]!'@CTA[8-2-5-2-7-2721,J,7,#6]'</f>
        <v>544.22</v>
      </c>
      <c r="M745" s="76">
        <f>[1]!'@CTA[8-2-6-2-7-2721,J,7,#6]'</f>
        <v>544.22</v>
      </c>
      <c r="N745" s="74">
        <f>[1]!'@CTA[8-2-7-2-7-2721,F,7,#6]'</f>
        <v>544.21999999999957</v>
      </c>
      <c r="O745" s="66">
        <f t="shared" si="51"/>
        <v>10697.78</v>
      </c>
    </row>
    <row r="746" spans="1:15" ht="240" x14ac:dyDescent="0.2">
      <c r="A746" s="67" t="s">
        <v>298</v>
      </c>
      <c r="B746" s="61" t="s">
        <v>152</v>
      </c>
      <c r="C746" s="61" t="s">
        <v>149</v>
      </c>
      <c r="D746" s="62" t="s">
        <v>299</v>
      </c>
      <c r="E746" s="71" t="s">
        <v>177</v>
      </c>
      <c r="F746" s="72">
        <v>2731</v>
      </c>
      <c r="G746" s="73" t="s">
        <v>201</v>
      </c>
      <c r="H746" s="74">
        <f>[1]!'@CTA[8-2-1-2-7-2731,F,7,#6]'</f>
        <v>0</v>
      </c>
      <c r="I746" s="74">
        <f>[1]!'@CTA[8-2-3-2-7-2731,F,7,#6]'</f>
        <v>0</v>
      </c>
      <c r="J746" s="75">
        <f>[1]!'@CTA[8-2-1-2-7-2731,F,7,#6]'+[1]!'@CTA[8-2-3-2-7-2731,F,7,#6]'</f>
        <v>0</v>
      </c>
      <c r="K746" s="76">
        <f>[1]!'@CTA[8-2-4-2-7-2731,J,7,#6]'</f>
        <v>0</v>
      </c>
      <c r="L746" s="76">
        <f>[1]!'@CTA[8-2-5-2-7-2731,J,7,#6]'</f>
        <v>0</v>
      </c>
      <c r="M746" s="76">
        <f>[1]!'@CTA[8-2-6-2-7-2731,J,7,#6]'</f>
        <v>0</v>
      </c>
      <c r="N746" s="74">
        <f>[1]!'@CTA[8-2-7-2-7-2731,F,7,#6]'</f>
        <v>0</v>
      </c>
      <c r="O746" s="66">
        <f t="shared" si="51"/>
        <v>0</v>
      </c>
    </row>
    <row r="747" spans="1:15" ht="240" x14ac:dyDescent="0.2">
      <c r="A747" s="67" t="s">
        <v>298</v>
      </c>
      <c r="B747" s="61" t="s">
        <v>152</v>
      </c>
      <c r="C747" s="61" t="s">
        <v>149</v>
      </c>
      <c r="D747" s="62" t="s">
        <v>299</v>
      </c>
      <c r="E747" s="71" t="s">
        <v>177</v>
      </c>
      <c r="F747" s="72">
        <v>2911</v>
      </c>
      <c r="G747" s="73" t="s">
        <v>202</v>
      </c>
      <c r="H747" s="74">
        <f>[1]!'@CTA[8-2-1-2-9-2911,F,7,#6]'</f>
        <v>14989</v>
      </c>
      <c r="I747" s="74">
        <f>[1]!'@CTA[8-2-3-2-9-2911,F,7,#6]'</f>
        <v>9.0949470177292824E-13</v>
      </c>
      <c r="J747" s="75">
        <f>[1]!'@CTA[8-2-1-2-9-2911,F,7,#6]'+[1]!'@CTA[8-2-3-2-9-2911,F,7,#6]'</f>
        <v>14989</v>
      </c>
      <c r="K747" s="76">
        <f>[1]!'@CTA[8-2-4-2-9-2911,J,7,#6]'</f>
        <v>1165.02</v>
      </c>
      <c r="L747" s="76">
        <f>[1]!'@CTA[8-2-5-2-9-2911,J,7,#6]'</f>
        <v>1165.02</v>
      </c>
      <c r="M747" s="76">
        <f>[1]!'@CTA[8-2-6-2-9-2911,J,7,#6]'</f>
        <v>1165.02</v>
      </c>
      <c r="N747" s="74">
        <f>[1]!'@CTA[8-2-7-2-9-2911,F,7,#6]'</f>
        <v>1165.0200000000018</v>
      </c>
      <c r="O747" s="66">
        <f t="shared" si="51"/>
        <v>13823.98</v>
      </c>
    </row>
    <row r="748" spans="1:15" ht="240" x14ac:dyDescent="0.2">
      <c r="A748" s="67" t="s">
        <v>298</v>
      </c>
      <c r="B748" s="61"/>
      <c r="C748" s="61" t="s">
        <v>149</v>
      </c>
      <c r="D748" s="62" t="s">
        <v>299</v>
      </c>
      <c r="E748" s="61"/>
      <c r="F748" s="63">
        <v>3000</v>
      </c>
      <c r="G748" s="77" t="s">
        <v>203</v>
      </c>
      <c r="H748" s="69">
        <f t="shared" ref="H748:N748" si="53">SUBTOTAL(9,H749:H798)</f>
        <v>2252887</v>
      </c>
      <c r="I748" s="69">
        <f t="shared" si="53"/>
        <v>3156.110000000011</v>
      </c>
      <c r="J748" s="69">
        <f t="shared" si="53"/>
        <v>2256043.11</v>
      </c>
      <c r="K748" s="70">
        <f t="shared" si="53"/>
        <v>801157.96000000008</v>
      </c>
      <c r="L748" s="70">
        <f t="shared" si="53"/>
        <v>801157.96000000008</v>
      </c>
      <c r="M748" s="70">
        <f t="shared" si="53"/>
        <v>801157.96000000008</v>
      </c>
      <c r="N748" s="69">
        <f t="shared" si="53"/>
        <v>627336.78999999992</v>
      </c>
      <c r="O748" s="66">
        <f t="shared" si="51"/>
        <v>1454885.15</v>
      </c>
    </row>
    <row r="749" spans="1:15" ht="240" x14ac:dyDescent="0.2">
      <c r="A749" s="67" t="s">
        <v>298</v>
      </c>
      <c r="B749" s="61" t="s">
        <v>152</v>
      </c>
      <c r="C749" s="61" t="s">
        <v>149</v>
      </c>
      <c r="D749" s="62" t="s">
        <v>299</v>
      </c>
      <c r="E749" s="71" t="s">
        <v>177</v>
      </c>
      <c r="F749" s="72">
        <v>3111</v>
      </c>
      <c r="G749" s="73" t="s">
        <v>204</v>
      </c>
      <c r="H749" s="74">
        <f>[1]!'@CTA[8-2-1-3-1-3111,F,7,#6]'</f>
        <v>1303779</v>
      </c>
      <c r="I749" s="74">
        <f>[1]!'@CTA[8-2-3-3-1-3111,F,7,#6]'</f>
        <v>0</v>
      </c>
      <c r="J749" s="75">
        <f>[1]!'@CTA[8-2-1-3-1-3111,F,7,#6]'+[1]!'@CTA[8-2-3-3-1-3111,F,7,#6]'</f>
        <v>1303779</v>
      </c>
      <c r="K749" s="76">
        <f>[1]!'@CTA[8-2-4-3-1-3111,J,7,#6]'</f>
        <v>336158.48</v>
      </c>
      <c r="L749" s="76">
        <f>[1]!'@CTA[8-2-5-3-1-3111,J,7,#6]'</f>
        <v>336158.48</v>
      </c>
      <c r="M749" s="76">
        <f>[1]!'@CTA[8-2-6-3-1-3111,J,7,#6]'</f>
        <v>336158.48</v>
      </c>
      <c r="N749" s="74">
        <f>[1]!'@CTA[8-2-7-3-1-3111,F,7,#6]'</f>
        <v>240459.34999999998</v>
      </c>
      <c r="O749" s="66">
        <f t="shared" si="51"/>
        <v>967620.52</v>
      </c>
    </row>
    <row r="750" spans="1:15" ht="240" x14ac:dyDescent="0.2">
      <c r="A750" s="67" t="s">
        <v>298</v>
      </c>
      <c r="B750" s="61" t="s">
        <v>152</v>
      </c>
      <c r="C750" s="61" t="s">
        <v>149</v>
      </c>
      <c r="D750" s="62" t="s">
        <v>299</v>
      </c>
      <c r="E750" s="71" t="s">
        <v>177</v>
      </c>
      <c r="F750" s="72">
        <v>3131</v>
      </c>
      <c r="G750" s="73" t="s">
        <v>205</v>
      </c>
      <c r="H750" s="74">
        <f>[1]!'@CTA[8-2-1-3-1-3131,F,7,#6]'</f>
        <v>960</v>
      </c>
      <c r="I750" s="74">
        <f>[1]!'@CTA[8-2-3-3-1-3131,F,7,#6]'</f>
        <v>0</v>
      </c>
      <c r="J750" s="75">
        <f>[1]!'@CTA[8-2-1-3-1-3131,F,7,#6]'+[1]!'@CTA[8-2-3-3-1-3131,F,7,#6]'</f>
        <v>960</v>
      </c>
      <c r="K750" s="76">
        <f>[1]!'@CTA[8-2-4-3-1-3131,J,7,#6]'</f>
        <v>182.4</v>
      </c>
      <c r="L750" s="76">
        <f>[1]!'@CTA[8-2-5-3-1-3131,J,7,#6]'</f>
        <v>182.4</v>
      </c>
      <c r="M750" s="76">
        <f>[1]!'@CTA[8-2-6-3-1-3131,J,7,#6]'</f>
        <v>182.4</v>
      </c>
      <c r="N750" s="74">
        <f>[1]!'@CTA[8-2-7-3-1-3131,F,7,#6]'</f>
        <v>182.39999999999989</v>
      </c>
      <c r="O750" s="66">
        <f t="shared" si="51"/>
        <v>777.6</v>
      </c>
    </row>
    <row r="751" spans="1:15" ht="240" x14ac:dyDescent="0.2">
      <c r="A751" s="67" t="s">
        <v>298</v>
      </c>
      <c r="B751" s="61" t="s">
        <v>152</v>
      </c>
      <c r="C751" s="61" t="s">
        <v>149</v>
      </c>
      <c r="D751" s="62" t="s">
        <v>299</v>
      </c>
      <c r="E751" s="71" t="s">
        <v>177</v>
      </c>
      <c r="F751" s="72">
        <v>3141</v>
      </c>
      <c r="G751" s="73" t="s">
        <v>206</v>
      </c>
      <c r="H751" s="74">
        <f>[1]!'@CTA[8-2-1-3-1-3141,F,7,#6]'</f>
        <v>2940</v>
      </c>
      <c r="I751" s="74">
        <f>[1]!'@CTA[8-2-3-3-1-3141,F,7,#6]'</f>
        <v>466.96</v>
      </c>
      <c r="J751" s="75">
        <f>[1]!'@CTA[8-2-1-3-1-3141,F,7,#6]'+[1]!'@CTA[8-2-3-3-1-3141,F,7,#6]'</f>
        <v>3406.96</v>
      </c>
      <c r="K751" s="76">
        <f>[1]!'@CTA[8-2-4-3-1-3141,J,7,#6]'</f>
        <v>1091</v>
      </c>
      <c r="L751" s="76">
        <f>[1]!'@CTA[8-2-5-3-1-3141,J,7,#6]'</f>
        <v>1091</v>
      </c>
      <c r="M751" s="76">
        <f>[1]!'@CTA[8-2-6-3-1-3141,J,7,#6]'</f>
        <v>1091</v>
      </c>
      <c r="N751" s="74">
        <f>[1]!'@CTA[8-2-7-3-1-3141,F,7,#6]'</f>
        <v>950.68000000000006</v>
      </c>
      <c r="O751" s="66">
        <f t="shared" si="51"/>
        <v>2315.96</v>
      </c>
    </row>
    <row r="752" spans="1:15" ht="240" x14ac:dyDescent="0.2">
      <c r="A752" s="67" t="s">
        <v>298</v>
      </c>
      <c r="B752" s="61" t="s">
        <v>152</v>
      </c>
      <c r="C752" s="61" t="s">
        <v>149</v>
      </c>
      <c r="D752" s="62" t="s">
        <v>299</v>
      </c>
      <c r="E752" s="71" t="s">
        <v>177</v>
      </c>
      <c r="F752" s="72">
        <v>3161</v>
      </c>
      <c r="G752" s="73" t="s">
        <v>207</v>
      </c>
      <c r="H752" s="74">
        <f>[1]!'@CTA[8-2-1-3-1-3161,F,7,#6]'</f>
        <v>0</v>
      </c>
      <c r="I752" s="74">
        <f>[1]!'@CTA[8-2-3-3-1-3161,F,7,#6]'</f>
        <v>0</v>
      </c>
      <c r="J752" s="75">
        <f>[1]!'@CTA[8-2-1-3-1-3161,F,7,#6]'+[1]!'@CTA[8-2-3-3-1-3161,F,7,#6]'</f>
        <v>0</v>
      </c>
      <c r="K752" s="76">
        <f>[1]!'@CTA[8-2-4-3-1-3161,J,7,#6]'</f>
        <v>0</v>
      </c>
      <c r="L752" s="76">
        <f>[1]!'@CTA[8-2-5-3-1-3161,J,7,#6]'</f>
        <v>0</v>
      </c>
      <c r="M752" s="76">
        <f>[1]!'@CTA[8-2-6-3-1-3161,J,7,#6]'</f>
        <v>0</v>
      </c>
      <c r="N752" s="74">
        <f>[1]!'@CTA[8-2-7-3-1-3161,F,7,#6]'</f>
        <v>0</v>
      </c>
      <c r="O752" s="66">
        <f t="shared" si="51"/>
        <v>0</v>
      </c>
    </row>
    <row r="753" spans="1:15" ht="240" x14ac:dyDescent="0.2">
      <c r="A753" s="67" t="s">
        <v>298</v>
      </c>
      <c r="B753" s="61" t="s">
        <v>152</v>
      </c>
      <c r="C753" s="61" t="s">
        <v>149</v>
      </c>
      <c r="D753" s="62" t="s">
        <v>299</v>
      </c>
      <c r="E753" s="71" t="s">
        <v>177</v>
      </c>
      <c r="F753" s="72">
        <v>3171</v>
      </c>
      <c r="G753" s="73" t="s">
        <v>208</v>
      </c>
      <c r="H753" s="74">
        <f>[1]!'@CTA[8-2-1-3-1-3171,F,7,#6]'</f>
        <v>655</v>
      </c>
      <c r="I753" s="74">
        <f>[1]!'@CTA[8-2-3-3-1-3171,F,7,#6]'</f>
        <v>0</v>
      </c>
      <c r="J753" s="75">
        <f>[1]!'@CTA[8-2-1-3-1-3171,F,7,#6]'+[1]!'@CTA[8-2-3-3-1-3171,F,7,#6]'</f>
        <v>655</v>
      </c>
      <c r="K753" s="76">
        <f>[1]!'@CTA[8-2-4-3-1-3171,J,7,#6]'</f>
        <v>0</v>
      </c>
      <c r="L753" s="76">
        <f>[1]!'@CTA[8-2-5-3-1-3171,J,7,#6]'</f>
        <v>0</v>
      </c>
      <c r="M753" s="76">
        <f>[1]!'@CTA[8-2-6-3-1-3171,J,7,#6]'</f>
        <v>0</v>
      </c>
      <c r="N753" s="74">
        <f>[1]!'@CTA[8-2-7-3-1-3171,F,7,#6]'</f>
        <v>0</v>
      </c>
      <c r="O753" s="66">
        <f t="shared" si="51"/>
        <v>655</v>
      </c>
    </row>
    <row r="754" spans="1:15" ht="240" x14ac:dyDescent="0.2">
      <c r="A754" s="67" t="s">
        <v>298</v>
      </c>
      <c r="B754" s="61" t="s">
        <v>152</v>
      </c>
      <c r="C754" s="61" t="s">
        <v>149</v>
      </c>
      <c r="D754" s="62" t="s">
        <v>299</v>
      </c>
      <c r="E754" s="71" t="s">
        <v>177</v>
      </c>
      <c r="F754" s="72">
        <v>3181</v>
      </c>
      <c r="G754" s="73" t="s">
        <v>209</v>
      </c>
      <c r="H754" s="74">
        <f>[1]!'@CTA[8-2-1-3-1-3181,F,7,#6]'</f>
        <v>0</v>
      </c>
      <c r="I754" s="74">
        <f>[1]!'@CTA[8-2-3-3-1-3181,F,7,#6]'</f>
        <v>0</v>
      </c>
      <c r="J754" s="75">
        <f>[1]!'@CTA[8-2-1-3-1-3181,F,7,#6]'+[1]!'@CTA[8-2-3-3-1-3181,F,7,#6]'</f>
        <v>0</v>
      </c>
      <c r="K754" s="76">
        <f>[1]!'@CTA[8-2-4-3-1-3181,J,7,#6]'</f>
        <v>0</v>
      </c>
      <c r="L754" s="76">
        <f>[1]!'@CTA[8-2-5-3-1-3181,J,7,#6]'</f>
        <v>0</v>
      </c>
      <c r="M754" s="76">
        <f>[1]!'@CTA[8-2-6-3-1-3181,J,7,#6]'</f>
        <v>0</v>
      </c>
      <c r="N754" s="74">
        <f>[1]!'@CTA[8-2-7-3-1-3181,F,7,#6]'</f>
        <v>0</v>
      </c>
      <c r="O754" s="66">
        <f t="shared" si="51"/>
        <v>0</v>
      </c>
    </row>
    <row r="755" spans="1:15" ht="240" x14ac:dyDescent="0.2">
      <c r="A755" s="67" t="s">
        <v>298</v>
      </c>
      <c r="B755" s="61" t="s">
        <v>152</v>
      </c>
      <c r="C755" s="61" t="s">
        <v>149</v>
      </c>
      <c r="D755" s="62" t="s">
        <v>299</v>
      </c>
      <c r="E755" s="71" t="s">
        <v>177</v>
      </c>
      <c r="F755" s="72">
        <v>3182</v>
      </c>
      <c r="G755" s="73" t="s">
        <v>210</v>
      </c>
      <c r="H755" s="74">
        <f>[1]!'@CTA[8-2-1-3-1-3182,F,7,#6]'</f>
        <v>0</v>
      </c>
      <c r="I755" s="74">
        <f>[1]!'@CTA[8-2-3-3-1-3182,F,7,#6]'</f>
        <v>0</v>
      </c>
      <c r="J755" s="75">
        <f>[1]!'@CTA[8-2-1-3-1-3182,F,7,#6]'+[1]!'@CTA[8-2-3-3-1-3182,F,7,#6]'</f>
        <v>0</v>
      </c>
      <c r="K755" s="76">
        <f>[1]!'@CTA[8-2-4-3-1-3182,J,7,#6]'</f>
        <v>0</v>
      </c>
      <c r="L755" s="76">
        <f>[1]!'@CTA[8-2-5-3-1-3182,J,7,#6]'</f>
        <v>0</v>
      </c>
      <c r="M755" s="76">
        <f>[1]!'@CTA[8-2-6-3-1-3182,J,7,#6]'</f>
        <v>0</v>
      </c>
      <c r="N755" s="74">
        <f>[1]!'@CTA[8-2-7-3-1-3182,F,7,#6]'</f>
        <v>0</v>
      </c>
      <c r="O755" s="66">
        <f t="shared" si="51"/>
        <v>0</v>
      </c>
    </row>
    <row r="756" spans="1:15" ht="240" x14ac:dyDescent="0.2">
      <c r="A756" s="67" t="s">
        <v>298</v>
      </c>
      <c r="B756" s="61" t="s">
        <v>152</v>
      </c>
      <c r="C756" s="61" t="s">
        <v>149</v>
      </c>
      <c r="D756" s="62" t="s">
        <v>299</v>
      </c>
      <c r="E756" s="71" t="s">
        <v>211</v>
      </c>
      <c r="F756" s="72">
        <v>3211</v>
      </c>
      <c r="G756" s="73" t="s">
        <v>212</v>
      </c>
      <c r="H756" s="74">
        <f>[1]!'@CTA[8-2-1-3-2-3211,F,7,#6]'</f>
        <v>0</v>
      </c>
      <c r="I756" s="74">
        <f>[1]!'@CTA[8-2-3-3-2-3211,F,7,#6]'</f>
        <v>0</v>
      </c>
      <c r="J756" s="75">
        <f>[1]!'@CTA[8-2-1-3-2-3211,F,7,#6]'+[1]!'@CTA[8-2-3-3-2-3211,F,7,#6]'</f>
        <v>0</v>
      </c>
      <c r="K756" s="76">
        <f>[1]!'@CTA[8-2-4-3-2-3211,J,7,#6]'</f>
        <v>0</v>
      </c>
      <c r="L756" s="76">
        <f>[1]!'@CTA[8-2-5-3-2-3211,J,7,#6]'</f>
        <v>0</v>
      </c>
      <c r="M756" s="76">
        <f>[1]!'@CTA[8-2-6-3-2-3211,J,7,#6]'</f>
        <v>0</v>
      </c>
      <c r="N756" s="74">
        <f>[1]!'@CTA[8-2-7-3-2-3211,F,7,#6]'</f>
        <v>0</v>
      </c>
      <c r="O756" s="66">
        <f t="shared" si="51"/>
        <v>0</v>
      </c>
    </row>
    <row r="757" spans="1:15" ht="240" x14ac:dyDescent="0.2">
      <c r="A757" s="67" t="s">
        <v>298</v>
      </c>
      <c r="B757" s="61" t="s">
        <v>152</v>
      </c>
      <c r="C757" s="61" t="s">
        <v>149</v>
      </c>
      <c r="D757" s="62" t="s">
        <v>299</v>
      </c>
      <c r="E757" s="71" t="s">
        <v>177</v>
      </c>
      <c r="F757" s="72">
        <v>3231</v>
      </c>
      <c r="G757" s="73" t="s">
        <v>213</v>
      </c>
      <c r="H757" s="74">
        <f>[1]!'@CTA[8-2-1-3-2-3231,F,7,#6]'</f>
        <v>0</v>
      </c>
      <c r="I757" s="74">
        <f>[1]!'@CTA[8-2-3-3-2-3231,F,7,#6]'</f>
        <v>0</v>
      </c>
      <c r="J757" s="75">
        <f>[1]!'@CTA[8-2-1-3-2-3231,F,7,#6]'+[1]!'@CTA[8-2-3-3-2-3231,F,7,#6]'</f>
        <v>0</v>
      </c>
      <c r="K757" s="76">
        <f>[1]!'@CTA[8-2-4-3-2-3231,J,7,#6]'</f>
        <v>0</v>
      </c>
      <c r="L757" s="76">
        <f>[1]!'@CTA[8-2-5-3-2-3231,J,7,#6]'</f>
        <v>0</v>
      </c>
      <c r="M757" s="76">
        <f>[1]!'@CTA[8-2-6-3-2-3231,J,7,#6]'</f>
        <v>0</v>
      </c>
      <c r="N757" s="74">
        <f>[1]!'@CTA[8-2-7-3-2-3231,F,7,#6]'</f>
        <v>0</v>
      </c>
      <c r="O757" s="66">
        <f t="shared" si="51"/>
        <v>0</v>
      </c>
    </row>
    <row r="758" spans="1:15" ht="240" x14ac:dyDescent="0.2">
      <c r="A758" s="67" t="s">
        <v>298</v>
      </c>
      <c r="B758" s="61" t="s">
        <v>152</v>
      </c>
      <c r="C758" s="61" t="s">
        <v>149</v>
      </c>
      <c r="D758" s="62" t="s">
        <v>299</v>
      </c>
      <c r="E758" s="71" t="s">
        <v>177</v>
      </c>
      <c r="F758" s="72">
        <v>3261</v>
      </c>
      <c r="G758" s="73" t="s">
        <v>214</v>
      </c>
      <c r="H758" s="74">
        <f>[1]!'@CTA[8-2-1-3-2-3261,F,7,#6]'</f>
        <v>0</v>
      </c>
      <c r="I758" s="74">
        <f>[1]!'@CTA[8-2-3-3-2-3261,F,7,#6]'</f>
        <v>0</v>
      </c>
      <c r="J758" s="75">
        <f>[1]!'@CTA[8-2-1-3-2-3261,F,7,#6]'+[1]!'@CTA[8-2-3-3-2-3261,F,7,#6]'</f>
        <v>0</v>
      </c>
      <c r="K758" s="76">
        <f>[1]!'@CTA[8-2-4-3-2-3261,J,7,#6]'</f>
        <v>0</v>
      </c>
      <c r="L758" s="76">
        <f>[1]!'@CTA[8-2-5-3-2-3261,J,7,#6]'</f>
        <v>0</v>
      </c>
      <c r="M758" s="76">
        <f>[1]!'@CTA[8-2-6-3-2-3261,J,7,#6]'</f>
        <v>0</v>
      </c>
      <c r="N758" s="74">
        <f>[1]!'@CTA[8-2-7-3-2-3261,F,7,#6]'</f>
        <v>0</v>
      </c>
      <c r="O758" s="66">
        <f t="shared" si="51"/>
        <v>0</v>
      </c>
    </row>
    <row r="759" spans="1:15" ht="240" x14ac:dyDescent="0.2">
      <c r="A759" s="67" t="s">
        <v>298</v>
      </c>
      <c r="B759" s="61" t="s">
        <v>152</v>
      </c>
      <c r="C759" s="61" t="s">
        <v>149</v>
      </c>
      <c r="D759" s="62" t="s">
        <v>299</v>
      </c>
      <c r="E759" s="71" t="s">
        <v>177</v>
      </c>
      <c r="F759" s="72">
        <v>3291</v>
      </c>
      <c r="G759" s="73" t="s">
        <v>215</v>
      </c>
      <c r="H759" s="74">
        <f>[1]!'@CTA[8-2-1-3-2-3291,F,7,#6]'</f>
        <v>0</v>
      </c>
      <c r="I759" s="74">
        <f>[1]!'@CTA[8-2-3-3-2-3291,F,7,#6]'</f>
        <v>0</v>
      </c>
      <c r="J759" s="75">
        <f>[1]!'@CTA[8-2-1-3-2-3291,F,7,#6]'+[1]!'@CTA[8-2-3-3-2-3291,F,7,#6]'</f>
        <v>0</v>
      </c>
      <c r="K759" s="76">
        <f>[1]!'@CTA[8-2-4-3-2-3291,J,7,#6]'</f>
        <v>0</v>
      </c>
      <c r="L759" s="76">
        <f>[1]!'@CTA[8-2-5-3-2-3291,J,7,#6]'</f>
        <v>0</v>
      </c>
      <c r="M759" s="76">
        <f>[1]!'@CTA[8-2-6-3-2-3291,J,7,#6]'</f>
        <v>0</v>
      </c>
      <c r="N759" s="74">
        <f>[1]!'@CTA[8-2-7-3-2-3291,F,7,#6]'</f>
        <v>0</v>
      </c>
      <c r="O759" s="66">
        <f t="shared" si="51"/>
        <v>0</v>
      </c>
    </row>
    <row r="760" spans="1:15" ht="240" x14ac:dyDescent="0.2">
      <c r="A760" s="67" t="s">
        <v>298</v>
      </c>
      <c r="B760" s="61" t="s">
        <v>152</v>
      </c>
      <c r="C760" s="61" t="s">
        <v>149</v>
      </c>
      <c r="D760" s="62" t="s">
        <v>299</v>
      </c>
      <c r="E760" s="71" t="s">
        <v>177</v>
      </c>
      <c r="F760" s="72">
        <v>3311</v>
      </c>
      <c r="G760" s="73" t="s">
        <v>216</v>
      </c>
      <c r="H760" s="74">
        <f>[1]!'@CTA[8-2-1-3-3-3311,F,7,#6]'</f>
        <v>0</v>
      </c>
      <c r="I760" s="74">
        <f>[1]!'@CTA[8-2-3-3-3-3311,F,7,#6]'</f>
        <v>0</v>
      </c>
      <c r="J760" s="75">
        <f>[1]!'@CTA[8-2-1-3-3-3311,F,7,#6]'+[1]!'@CTA[8-2-3-3-3-3311,F,7,#6]'</f>
        <v>0</v>
      </c>
      <c r="K760" s="76">
        <f>[1]!'@CTA[8-2-4-3-3-3311,J,7,#6]'</f>
        <v>0</v>
      </c>
      <c r="L760" s="76">
        <f>[1]!'@CTA[8-2-5-3-3-3311,J,7,#6]'</f>
        <v>0</v>
      </c>
      <c r="M760" s="76">
        <f>[1]!'@CTA[8-2-6-3-3-3311,J,7,#6]'</f>
        <v>0</v>
      </c>
      <c r="N760" s="74">
        <f>[1]!'@CTA[8-2-7-3-3-3311,F,7,#6]'</f>
        <v>0</v>
      </c>
      <c r="O760" s="66">
        <f t="shared" si="51"/>
        <v>0</v>
      </c>
    </row>
    <row r="761" spans="1:15" ht="240" x14ac:dyDescent="0.2">
      <c r="A761" s="67" t="s">
        <v>298</v>
      </c>
      <c r="B761" s="61" t="s">
        <v>152</v>
      </c>
      <c r="C761" s="61" t="s">
        <v>149</v>
      </c>
      <c r="D761" s="62" t="s">
        <v>299</v>
      </c>
      <c r="E761" s="71" t="s">
        <v>177</v>
      </c>
      <c r="F761" s="72">
        <v>3331</v>
      </c>
      <c r="G761" s="73" t="s">
        <v>217</v>
      </c>
      <c r="H761" s="74">
        <f>[1]!'@CTA[8-2-1-3-3-3331,F,7,#6]'</f>
        <v>0</v>
      </c>
      <c r="I761" s="74">
        <f>[1]!'@CTA[8-2-3-3-3-3331,F,7,#6]'</f>
        <v>0</v>
      </c>
      <c r="J761" s="75">
        <f>[1]!'@CTA[8-2-1-3-3-3331,F,7,#6]'+[1]!'@CTA[8-2-3-3-3-3331,F,7,#6]'</f>
        <v>0</v>
      </c>
      <c r="K761" s="76">
        <f>[1]!'@CTA[8-2-4-3-3-3331,J,7,#6]'</f>
        <v>0</v>
      </c>
      <c r="L761" s="76">
        <f>[1]!'@CTA[8-2-5-3-3-3331,J,7,#6]'</f>
        <v>0</v>
      </c>
      <c r="M761" s="76">
        <f>[1]!'@CTA[8-2-6-3-3-3331,J,7,#6]'</f>
        <v>0</v>
      </c>
      <c r="N761" s="74">
        <f>[1]!'@CTA[8-2-7-3-3-3331,F,7,#6]'</f>
        <v>0</v>
      </c>
      <c r="O761" s="66">
        <f t="shared" si="51"/>
        <v>0</v>
      </c>
    </row>
    <row r="762" spans="1:15" ht="240" x14ac:dyDescent="0.2">
      <c r="A762" s="67" t="s">
        <v>298</v>
      </c>
      <c r="B762" s="61" t="s">
        <v>152</v>
      </c>
      <c r="C762" s="61" t="s">
        <v>149</v>
      </c>
      <c r="D762" s="62" t="s">
        <v>299</v>
      </c>
      <c r="E762" s="71" t="s">
        <v>177</v>
      </c>
      <c r="F762" s="72">
        <v>3332</v>
      </c>
      <c r="G762" s="73" t="s">
        <v>218</v>
      </c>
      <c r="H762" s="74">
        <f>[1]!'@CTA[8-2-1-3-3-3332,F,7,#6]'</f>
        <v>0</v>
      </c>
      <c r="I762" s="74">
        <f>[1]!'@CTA[8-2-3-3-3-3332,F,7,#6]'</f>
        <v>0</v>
      </c>
      <c r="J762" s="75">
        <f>[1]!'@CTA[8-2-1-3-3-3332,F,7,#6]'+[1]!'@CTA[8-2-3-3-3-3332,F,7,#6]'</f>
        <v>0</v>
      </c>
      <c r="K762" s="76">
        <f>[1]!'@CTA[8-2-4-3-3-3332,J,7,#6]'</f>
        <v>0</v>
      </c>
      <c r="L762" s="76">
        <f>[1]!'@CTA[8-2-5-3-3-3332,J,7,#6]'</f>
        <v>0</v>
      </c>
      <c r="M762" s="76">
        <f>[1]!'@CTA[8-2-6-3-3-3332,J,7,#6]'</f>
        <v>0</v>
      </c>
      <c r="N762" s="74">
        <f>[1]!'@CTA[8-2-7-3-3-3332,F,7,#6]'</f>
        <v>0</v>
      </c>
      <c r="O762" s="66">
        <f t="shared" si="51"/>
        <v>0</v>
      </c>
    </row>
    <row r="763" spans="1:15" ht="240" x14ac:dyDescent="0.2">
      <c r="A763" s="67" t="s">
        <v>298</v>
      </c>
      <c r="B763" s="61" t="s">
        <v>152</v>
      </c>
      <c r="C763" s="61" t="s">
        <v>149</v>
      </c>
      <c r="D763" s="62" t="s">
        <v>299</v>
      </c>
      <c r="E763" s="71" t="s">
        <v>177</v>
      </c>
      <c r="F763" s="72">
        <v>3341</v>
      </c>
      <c r="G763" s="73" t="s">
        <v>219</v>
      </c>
      <c r="H763" s="74">
        <f>[1]!'@CTA[8-2-1-3-3-3341,F,7,#6]'</f>
        <v>0</v>
      </c>
      <c r="I763" s="74">
        <f>[1]!'@CTA[8-2-3-3-3-3341,F,7,#6]'</f>
        <v>0</v>
      </c>
      <c r="J763" s="75">
        <f>[1]!'@CTA[8-2-1-3-3-3341,F,7,#6]'+[1]!'@CTA[8-2-3-3-3-3341,F,7,#6]'</f>
        <v>0</v>
      </c>
      <c r="K763" s="76">
        <f>[1]!'@CTA[8-2-4-3-3-3341,J,7,#6]'</f>
        <v>0</v>
      </c>
      <c r="L763" s="76">
        <f>[1]!'@CTA[8-2-5-3-3-3341,J,7,#6]'</f>
        <v>0</v>
      </c>
      <c r="M763" s="76">
        <f>[1]!'@CTA[8-2-6-3-3-3341,J,7,#6]'</f>
        <v>0</v>
      </c>
      <c r="N763" s="74">
        <f>[1]!'@CTA[8-2-7-3-3-3341,F,7,#6]'</f>
        <v>0</v>
      </c>
      <c r="O763" s="66">
        <f t="shared" si="51"/>
        <v>0</v>
      </c>
    </row>
    <row r="764" spans="1:15" ht="240" x14ac:dyDescent="0.2">
      <c r="A764" s="67" t="s">
        <v>298</v>
      </c>
      <c r="B764" s="61" t="s">
        <v>152</v>
      </c>
      <c r="C764" s="61" t="s">
        <v>149</v>
      </c>
      <c r="D764" s="62" t="s">
        <v>299</v>
      </c>
      <c r="E764" s="71" t="s">
        <v>177</v>
      </c>
      <c r="F764" s="72">
        <v>3381</v>
      </c>
      <c r="G764" s="73" t="s">
        <v>220</v>
      </c>
      <c r="H764" s="74">
        <f>[1]!'@CTA[8-2-1-3-3-3381,F,7,#6]'</f>
        <v>0</v>
      </c>
      <c r="I764" s="74">
        <f>[1]!'@CTA[8-2-3-3-3-3381,F,7,#6]'</f>
        <v>0</v>
      </c>
      <c r="J764" s="75">
        <f>[1]!'@CTA[8-2-1-3-3-3381,F,7,#6]'+[1]!'@CTA[8-2-3-3-3-3381,F,7,#6]'</f>
        <v>0</v>
      </c>
      <c r="K764" s="76">
        <f>[1]!'@CTA[8-2-4-3-3-3381,J,7,#6]'</f>
        <v>0</v>
      </c>
      <c r="L764" s="76">
        <f>[1]!'@CTA[8-2-5-3-3-3381,J,7,#6]'</f>
        <v>0</v>
      </c>
      <c r="M764" s="76">
        <f>[1]!'@CTA[8-2-6-3-3-3381,J,7,#6]'</f>
        <v>0</v>
      </c>
      <c r="N764" s="74">
        <f>[1]!'@CTA[8-2-7-3-3-3381,F,7,#6]'</f>
        <v>0</v>
      </c>
      <c r="O764" s="66">
        <f t="shared" si="51"/>
        <v>0</v>
      </c>
    </row>
    <row r="765" spans="1:15" ht="240" x14ac:dyDescent="0.2">
      <c r="A765" s="67" t="s">
        <v>298</v>
      </c>
      <c r="B765" s="61" t="s">
        <v>152</v>
      </c>
      <c r="C765" s="61" t="s">
        <v>149</v>
      </c>
      <c r="D765" s="62" t="s">
        <v>299</v>
      </c>
      <c r="E765" s="71" t="s">
        <v>177</v>
      </c>
      <c r="F765" s="72">
        <v>3391</v>
      </c>
      <c r="G765" s="73" t="s">
        <v>221</v>
      </c>
      <c r="H765" s="74">
        <f>[1]!'@CTA[8-2-1-3-3-3391,F,7,#6]'</f>
        <v>426000</v>
      </c>
      <c r="I765" s="74">
        <f>[1]!'@CTA[8-2-3-3-3-3391,F,7,#6]'</f>
        <v>0</v>
      </c>
      <c r="J765" s="75">
        <f>[1]!'@CTA[8-2-1-3-3-3391,F,7,#6]'+[1]!'@CTA[8-2-3-3-3-3391,F,7,#6]'</f>
        <v>426000</v>
      </c>
      <c r="K765" s="76">
        <f>[1]!'@CTA[8-2-4-3-3-3391,J,7,#6]'</f>
        <v>91494</v>
      </c>
      <c r="L765" s="76">
        <f>[1]!'@CTA[8-2-5-3-3-3391,J,7,#6]'</f>
        <v>91494</v>
      </c>
      <c r="M765" s="76">
        <f>[1]!'@CTA[8-2-6-3-3-3391,J,7,#6]'</f>
        <v>91494</v>
      </c>
      <c r="N765" s="74">
        <f>[1]!'@CTA[8-2-7-3-3-3391,F,7,#6]'</f>
        <v>60996</v>
      </c>
      <c r="O765" s="66">
        <f t="shared" si="51"/>
        <v>334506</v>
      </c>
    </row>
    <row r="766" spans="1:15" ht="240" x14ac:dyDescent="0.2">
      <c r="A766" s="67" t="s">
        <v>298</v>
      </c>
      <c r="B766" s="61" t="s">
        <v>152</v>
      </c>
      <c r="C766" s="61" t="s">
        <v>149</v>
      </c>
      <c r="D766" s="62" t="s">
        <v>299</v>
      </c>
      <c r="E766" s="71" t="s">
        <v>177</v>
      </c>
      <c r="F766" s="72">
        <v>3411</v>
      </c>
      <c r="G766" s="73" t="s">
        <v>222</v>
      </c>
      <c r="H766" s="74">
        <f>[1]!'@CTA[8-2-1-3-4-3411,F,7,#6]'</f>
        <v>0</v>
      </c>
      <c r="I766" s="74">
        <f>[1]!'@CTA[8-2-3-3-4-3411,F,7,#6]'</f>
        <v>0</v>
      </c>
      <c r="J766" s="75">
        <f>[1]!'@CTA[8-2-1-3-4-3411,F,7,#6]'+[1]!'@CTA[8-2-3-3-4-3411,F,7,#6]'</f>
        <v>0</v>
      </c>
      <c r="K766" s="76">
        <f>[1]!'@CTA[8-2-4-3-4-3411,J,7,#6]'</f>
        <v>0</v>
      </c>
      <c r="L766" s="76">
        <f>[1]!'@CTA[8-2-5-3-4-3411,J,7,#6]'</f>
        <v>0</v>
      </c>
      <c r="M766" s="76">
        <f>[1]!'@CTA[8-2-6-3-4-3411,J,7,#6]'</f>
        <v>0</v>
      </c>
      <c r="N766" s="74">
        <f>[1]!'@CTA[8-2-7-3-4-3411,F,7,#6]'</f>
        <v>0</v>
      </c>
      <c r="O766" s="66">
        <f t="shared" si="51"/>
        <v>0</v>
      </c>
    </row>
    <row r="767" spans="1:15" ht="240" x14ac:dyDescent="0.2">
      <c r="A767" s="67" t="s">
        <v>298</v>
      </c>
      <c r="B767" s="61" t="s">
        <v>152</v>
      </c>
      <c r="C767" s="61" t="s">
        <v>149</v>
      </c>
      <c r="D767" s="62" t="s">
        <v>299</v>
      </c>
      <c r="E767" s="71" t="s">
        <v>177</v>
      </c>
      <c r="F767" s="72">
        <v>3431</v>
      </c>
      <c r="G767" s="73" t="s">
        <v>223</v>
      </c>
      <c r="H767" s="74">
        <f>[1]!'@CTA[8-2-1-3-4-3431,F,7,#6]'</f>
        <v>0</v>
      </c>
      <c r="I767" s="74">
        <f>[1]!'@CTA[8-2-3-3-4-3431,F,7,#6]'</f>
        <v>0</v>
      </c>
      <c r="J767" s="75">
        <f>[1]!'@CTA[8-2-1-3-4-3431,F,7,#6]'+[1]!'@CTA[8-2-3-3-4-3431,F,7,#6]'</f>
        <v>0</v>
      </c>
      <c r="K767" s="76">
        <f>[1]!'@CTA[8-2-4-3-4-3431,J,7,#6]'</f>
        <v>0</v>
      </c>
      <c r="L767" s="76">
        <f>[1]!'@CTA[8-2-5-3-4-3431,J,7,#6]'</f>
        <v>0</v>
      </c>
      <c r="M767" s="76">
        <f>[1]!'@CTA[8-2-6-3-4-3431,J,7,#6]'</f>
        <v>0</v>
      </c>
      <c r="N767" s="74">
        <f>[1]!'@CTA[8-2-7-3-4-3431,F,7,#6]'</f>
        <v>0</v>
      </c>
      <c r="O767" s="66">
        <f t="shared" si="51"/>
        <v>0</v>
      </c>
    </row>
    <row r="768" spans="1:15" ht="240" x14ac:dyDescent="0.2">
      <c r="A768" s="67" t="s">
        <v>298</v>
      </c>
      <c r="B768" s="61" t="s">
        <v>152</v>
      </c>
      <c r="C768" s="61" t="s">
        <v>149</v>
      </c>
      <c r="D768" s="62" t="s">
        <v>299</v>
      </c>
      <c r="E768" s="71" t="s">
        <v>177</v>
      </c>
      <c r="F768" s="72">
        <v>3451</v>
      </c>
      <c r="G768" s="73" t="s">
        <v>224</v>
      </c>
      <c r="H768" s="74">
        <f>[1]!'@CTA[8-2-1-3-4-3451,F,7,#6]'</f>
        <v>37814</v>
      </c>
      <c r="I768" s="74">
        <f>[1]!'@CTA[8-2-3-3-4-3451,F,7,#6]'</f>
        <v>0</v>
      </c>
      <c r="J768" s="75">
        <f>[1]!'@CTA[8-2-1-3-4-3451,F,7,#6]'+[1]!'@CTA[8-2-3-3-4-3451,F,7,#6]'</f>
        <v>37814</v>
      </c>
      <c r="K768" s="76">
        <f>[1]!'@CTA[8-2-4-3-4-3451,J,7,#6]'</f>
        <v>9076.7100000000009</v>
      </c>
      <c r="L768" s="76">
        <f>[1]!'@CTA[8-2-5-3-4-3451,J,7,#6]'</f>
        <v>9076.7100000000009</v>
      </c>
      <c r="M768" s="76">
        <f>[1]!'@CTA[8-2-6-3-4-3451,J,7,#6]'</f>
        <v>9076.7100000000009</v>
      </c>
      <c r="N768" s="74">
        <f>[1]!'@CTA[8-2-7-3-4-3451,F,7,#6]'</f>
        <v>9076.7100000000155</v>
      </c>
      <c r="O768" s="66">
        <f t="shared" si="51"/>
        <v>28737.29</v>
      </c>
    </row>
    <row r="769" spans="1:15" ht="240" x14ac:dyDescent="0.2">
      <c r="A769" s="67" t="s">
        <v>298</v>
      </c>
      <c r="B769" s="61" t="s">
        <v>152</v>
      </c>
      <c r="C769" s="61" t="s">
        <v>149</v>
      </c>
      <c r="D769" s="62" t="s">
        <v>299</v>
      </c>
      <c r="E769" s="71" t="s">
        <v>177</v>
      </c>
      <c r="F769" s="72">
        <v>3471</v>
      </c>
      <c r="G769" s="73" t="s">
        <v>225</v>
      </c>
      <c r="H769" s="74">
        <f>[1]!'@CTA[8-2-1-3-4-3471,F,7,#6]'</f>
        <v>0</v>
      </c>
      <c r="I769" s="74">
        <f>[1]!'@CTA[8-2-3-3-4-3471,F,7,#6]'</f>
        <v>0</v>
      </c>
      <c r="J769" s="75">
        <f>[1]!'@CTA[8-2-1-3-4-3471,F,7,#6]'+[1]!'@CTA[8-2-3-3-4-3471,F,7,#6]'</f>
        <v>0</v>
      </c>
      <c r="K769" s="76">
        <f>[1]!'@CTA[8-2-4-3-4-3471,J,7,#6]'</f>
        <v>0</v>
      </c>
      <c r="L769" s="76">
        <f>[1]!'@CTA[8-2-5-3-4-3471,J,7,#6]'</f>
        <v>0</v>
      </c>
      <c r="M769" s="76">
        <f>[1]!'@CTA[8-2-6-3-4-3471,J,7,#6]'</f>
        <v>0</v>
      </c>
      <c r="N769" s="74">
        <f>[1]!'@CTA[8-2-7-3-4-3471,F,7,#6]'</f>
        <v>0</v>
      </c>
      <c r="O769" s="66">
        <f t="shared" si="51"/>
        <v>0</v>
      </c>
    </row>
    <row r="770" spans="1:15" ht="240" x14ac:dyDescent="0.2">
      <c r="A770" s="67" t="s">
        <v>298</v>
      </c>
      <c r="B770" s="61" t="s">
        <v>152</v>
      </c>
      <c r="C770" s="61" t="s">
        <v>149</v>
      </c>
      <c r="D770" s="62" t="s">
        <v>299</v>
      </c>
      <c r="E770" s="71" t="s">
        <v>177</v>
      </c>
      <c r="F770" s="72">
        <v>3491</v>
      </c>
      <c r="G770" s="73" t="s">
        <v>226</v>
      </c>
      <c r="H770" s="74">
        <f>[1]!'@CTA[8-2-1-3-4-3491,F,7,#6]'</f>
        <v>2028</v>
      </c>
      <c r="I770" s="74">
        <f>[1]!'@CTA[8-2-3-3-4-3491,F,7,#6]'</f>
        <v>0</v>
      </c>
      <c r="J770" s="75">
        <f>[1]!'@CTA[8-2-1-3-4-3491,F,7,#6]'+[1]!'@CTA[8-2-3-3-4-3491,F,7,#6]'</f>
        <v>2028</v>
      </c>
      <c r="K770" s="76">
        <f>[1]!'@CTA[8-2-4-3-4-3491,J,7,#6]'</f>
        <v>511.49</v>
      </c>
      <c r="L770" s="76">
        <f>[1]!'@CTA[8-2-5-3-4-3491,J,7,#6]'</f>
        <v>511.49</v>
      </c>
      <c r="M770" s="76">
        <f>[1]!'@CTA[8-2-6-3-4-3491,J,7,#6]'</f>
        <v>511.49</v>
      </c>
      <c r="N770" s="74">
        <f>[1]!'@CTA[8-2-7-3-4-3491,F,7,#6]'</f>
        <v>511.49000000000046</v>
      </c>
      <c r="O770" s="66">
        <f t="shared" si="51"/>
        <v>1516.51</v>
      </c>
    </row>
    <row r="771" spans="1:15" ht="240" x14ac:dyDescent="0.2">
      <c r="A771" s="67" t="s">
        <v>298</v>
      </c>
      <c r="B771" s="61" t="s">
        <v>152</v>
      </c>
      <c r="C771" s="61" t="s">
        <v>149</v>
      </c>
      <c r="D771" s="62" t="s">
        <v>299</v>
      </c>
      <c r="E771" s="71" t="s">
        <v>177</v>
      </c>
      <c r="F771" s="72">
        <v>3511</v>
      </c>
      <c r="G771" s="73" t="s">
        <v>227</v>
      </c>
      <c r="H771" s="74">
        <f>[1]!'@CTA[8-2-1-3-5-3511,F,7,#6]'</f>
        <v>0</v>
      </c>
      <c r="I771" s="74">
        <f>[1]!'@CTA[8-2-3-3-5-3511,F,7,#6]'</f>
        <v>1.4551915228366852E-11</v>
      </c>
      <c r="J771" s="75">
        <f>[1]!'@CTA[8-2-1-3-5-3511,F,7,#6]'+[1]!'@CTA[8-2-3-3-5-3511,F,7,#6]'</f>
        <v>1.4551915228366852E-11</v>
      </c>
      <c r="K771" s="76">
        <f>[1]!'@CTA[8-2-4-3-5-3511,J,7,#6]'</f>
        <v>0</v>
      </c>
      <c r="L771" s="76">
        <f>[1]!'@CTA[8-2-5-3-5-3511,J,7,#6]'</f>
        <v>0</v>
      </c>
      <c r="M771" s="76">
        <f>[1]!'@CTA[8-2-6-3-5-3511,J,7,#6]'</f>
        <v>0</v>
      </c>
      <c r="N771" s="74">
        <f>[1]!'@CTA[8-2-7-3-5-3511,F,7,#6]'</f>
        <v>1.4551915228366852E-11</v>
      </c>
      <c r="O771" s="66">
        <f t="shared" si="51"/>
        <v>1.4551915228366852E-11</v>
      </c>
    </row>
    <row r="772" spans="1:15" ht="240" x14ac:dyDescent="0.2">
      <c r="A772" s="67" t="s">
        <v>298</v>
      </c>
      <c r="B772" s="61" t="s">
        <v>152</v>
      </c>
      <c r="C772" s="61" t="s">
        <v>149</v>
      </c>
      <c r="D772" s="62" t="s">
        <v>299</v>
      </c>
      <c r="E772" s="71" t="s">
        <v>177</v>
      </c>
      <c r="F772" s="72">
        <v>3521</v>
      </c>
      <c r="G772" s="73" t="s">
        <v>228</v>
      </c>
      <c r="H772" s="74">
        <f>[1]!'@CTA[8-2-1-3-5-3521,F,7,#6]'</f>
        <v>0</v>
      </c>
      <c r="I772" s="74">
        <f>[1]!'@CTA[8-2-3-3-5-3521,F,7,#6]'</f>
        <v>0</v>
      </c>
      <c r="J772" s="75">
        <f>[1]!'@CTA[8-2-1-3-5-3521,F,7,#6]'+[1]!'@CTA[8-2-3-3-5-3521,F,7,#6]'</f>
        <v>0</v>
      </c>
      <c r="K772" s="76">
        <f>[1]!'@CTA[8-2-4-3-5-3521,J,7,#6]'</f>
        <v>0</v>
      </c>
      <c r="L772" s="76">
        <f>[1]!'@CTA[8-2-5-3-5-3521,J,7,#6]'</f>
        <v>0</v>
      </c>
      <c r="M772" s="76">
        <f>[1]!'@CTA[8-2-6-3-5-3521,J,7,#6]'</f>
        <v>0</v>
      </c>
      <c r="N772" s="74">
        <f>[1]!'@CTA[8-2-7-3-5-3521,F,7,#6]'</f>
        <v>0</v>
      </c>
      <c r="O772" s="66">
        <f t="shared" si="51"/>
        <v>0</v>
      </c>
    </row>
    <row r="773" spans="1:15" ht="240" x14ac:dyDescent="0.2">
      <c r="A773" s="67" t="s">
        <v>298</v>
      </c>
      <c r="B773" s="61" t="s">
        <v>152</v>
      </c>
      <c r="C773" s="61" t="s">
        <v>149</v>
      </c>
      <c r="D773" s="62" t="s">
        <v>299</v>
      </c>
      <c r="E773" s="71" t="s">
        <v>177</v>
      </c>
      <c r="F773" s="72">
        <v>3531</v>
      </c>
      <c r="G773" s="73" t="s">
        <v>229</v>
      </c>
      <c r="H773" s="74">
        <f>[1]!'@CTA[8-2-1-3-5-3531,F,7,#6]'</f>
        <v>0</v>
      </c>
      <c r="I773" s="74">
        <f>[1]!'@CTA[8-2-3-3-5-3531,F,7,#6]'</f>
        <v>0</v>
      </c>
      <c r="J773" s="75">
        <f>[1]!'@CTA[8-2-1-3-5-3531,F,7,#6]'+[1]!'@CTA[8-2-3-3-5-3531,F,7,#6]'</f>
        <v>0</v>
      </c>
      <c r="K773" s="76">
        <f>[1]!'@CTA[8-2-4-3-5-3531,J,7,#6]'</f>
        <v>0</v>
      </c>
      <c r="L773" s="76">
        <f>[1]!'@CTA[8-2-5-3-5-3531,J,7,#6]'</f>
        <v>0</v>
      </c>
      <c r="M773" s="76">
        <f>[1]!'@CTA[8-2-6-3-5-3531,J,7,#6]'</f>
        <v>0</v>
      </c>
      <c r="N773" s="74">
        <f>[1]!'@CTA[8-2-7-3-5-3531,F,7,#6]'</f>
        <v>0</v>
      </c>
      <c r="O773" s="66">
        <f t="shared" si="51"/>
        <v>0</v>
      </c>
    </row>
    <row r="774" spans="1:15" ht="240" x14ac:dyDescent="0.2">
      <c r="A774" s="67" t="s">
        <v>298</v>
      </c>
      <c r="B774" s="61" t="s">
        <v>152</v>
      </c>
      <c r="C774" s="61" t="s">
        <v>149</v>
      </c>
      <c r="D774" s="62" t="s">
        <v>299</v>
      </c>
      <c r="E774" s="71" t="s">
        <v>177</v>
      </c>
      <c r="F774" s="72">
        <v>3551</v>
      </c>
      <c r="G774" s="73" t="s">
        <v>230</v>
      </c>
      <c r="H774" s="74">
        <f>[1]!'@CTA[8-2-1-3-5-3551,F,7,#6]'</f>
        <v>12260</v>
      </c>
      <c r="I774" s="74">
        <f>[1]!'@CTA[8-2-3-3-5-3551,F,7,#6]'</f>
        <v>0</v>
      </c>
      <c r="J774" s="75">
        <f>[1]!'@CTA[8-2-1-3-5-3551,F,7,#6]'+[1]!'@CTA[8-2-3-3-5-3551,F,7,#6]'</f>
        <v>12260</v>
      </c>
      <c r="K774" s="76">
        <f>[1]!'@CTA[8-2-4-3-5-3551,J,7,#6]'</f>
        <v>5828.78</v>
      </c>
      <c r="L774" s="76">
        <f>[1]!'@CTA[8-2-5-3-5-3551,J,7,#6]'</f>
        <v>5828.78</v>
      </c>
      <c r="M774" s="76">
        <f>[1]!'@CTA[8-2-6-3-5-3551,J,7,#6]'</f>
        <v>5828.78</v>
      </c>
      <c r="N774" s="74">
        <f>[1]!'@CTA[8-2-7-3-5-3551,F,7,#6]'</f>
        <v>4689.1399999999985</v>
      </c>
      <c r="O774" s="66">
        <f t="shared" si="51"/>
        <v>6431.22</v>
      </c>
    </row>
    <row r="775" spans="1:15" ht="240" x14ac:dyDescent="0.2">
      <c r="A775" s="67" t="s">
        <v>298</v>
      </c>
      <c r="B775" s="61" t="s">
        <v>152</v>
      </c>
      <c r="C775" s="61" t="s">
        <v>149</v>
      </c>
      <c r="D775" s="62" t="s">
        <v>299</v>
      </c>
      <c r="E775" s="71" t="s">
        <v>177</v>
      </c>
      <c r="F775" s="72">
        <v>3571</v>
      </c>
      <c r="G775" s="73" t="s">
        <v>231</v>
      </c>
      <c r="H775" s="74">
        <f>[1]!'@CTA[8-2-1-3-5-3571,F,7,#6]'</f>
        <v>0</v>
      </c>
      <c r="I775" s="74">
        <f>[1]!'@CTA[8-2-3-3-5-3571,F,7,#6]'</f>
        <v>0</v>
      </c>
      <c r="J775" s="75">
        <f>[1]!'@CTA[8-2-1-3-5-3571,F,7,#6]'+[1]!'@CTA[8-2-3-3-5-3571,F,7,#6]'</f>
        <v>0</v>
      </c>
      <c r="K775" s="76">
        <f>[1]!'@CTA[8-2-4-3-5-3571,J,7,#6]'</f>
        <v>0</v>
      </c>
      <c r="L775" s="76">
        <f>[1]!'@CTA[8-2-5-3-5-3571,J,7,#6]'</f>
        <v>0</v>
      </c>
      <c r="M775" s="76">
        <f>[1]!'@CTA[8-2-6-3-5-3571,J,7,#6]'</f>
        <v>0</v>
      </c>
      <c r="N775" s="74">
        <f>[1]!'@CTA[8-2-7-3-5-3571,F,7,#6]'</f>
        <v>9.0949470177292824E-13</v>
      </c>
      <c r="O775" s="66">
        <f t="shared" si="51"/>
        <v>0</v>
      </c>
    </row>
    <row r="776" spans="1:15" ht="240" x14ac:dyDescent="0.2">
      <c r="A776" s="67" t="s">
        <v>298</v>
      </c>
      <c r="B776" s="61" t="s">
        <v>152</v>
      </c>
      <c r="C776" s="61" t="s">
        <v>149</v>
      </c>
      <c r="D776" s="62" t="s">
        <v>299</v>
      </c>
      <c r="E776" s="71" t="s">
        <v>177</v>
      </c>
      <c r="F776" s="72">
        <v>3572</v>
      </c>
      <c r="G776" s="73" t="s">
        <v>232</v>
      </c>
      <c r="H776" s="74">
        <f>[1]!'@CTA[8-2-1-3-5-3572,F,7,#6]'</f>
        <v>62800</v>
      </c>
      <c r="I776" s="74">
        <f>[1]!'@CTA[8-2-3-3-5-3572,F,7,#6]'</f>
        <v>0</v>
      </c>
      <c r="J776" s="75">
        <f>[1]!'@CTA[8-2-1-3-5-3572,F,7,#6]'+[1]!'@CTA[8-2-3-3-5-3572,F,7,#6]'</f>
        <v>62800</v>
      </c>
      <c r="K776" s="76">
        <f>[1]!'@CTA[8-2-4-3-5-3572,J,7,#6]'</f>
        <v>42400</v>
      </c>
      <c r="L776" s="76">
        <f>[1]!'@CTA[8-2-5-3-5-3572,J,7,#6]'</f>
        <v>42400</v>
      </c>
      <c r="M776" s="76">
        <f>[1]!'@CTA[8-2-6-3-5-3572,J,7,#6]'</f>
        <v>42400</v>
      </c>
      <c r="N776" s="74">
        <f>[1]!'@CTA[8-2-7-3-5-3572,F,7,#6]'</f>
        <v>42399.999999999993</v>
      </c>
      <c r="O776" s="66">
        <f t="shared" si="51"/>
        <v>20400</v>
      </c>
    </row>
    <row r="777" spans="1:15" ht="240" x14ac:dyDescent="0.2">
      <c r="A777" s="67" t="s">
        <v>298</v>
      </c>
      <c r="B777" s="61" t="s">
        <v>152</v>
      </c>
      <c r="C777" s="61" t="s">
        <v>149</v>
      </c>
      <c r="D777" s="62" t="s">
        <v>299</v>
      </c>
      <c r="E777" s="71" t="s">
        <v>177</v>
      </c>
      <c r="F777" s="72">
        <v>3573</v>
      </c>
      <c r="G777" s="73" t="s">
        <v>233</v>
      </c>
      <c r="H777" s="74">
        <f>[1]!'@CTA[8-2-1-3-5-3573,F,7,#6]'</f>
        <v>92100</v>
      </c>
      <c r="I777" s="74">
        <f>[1]!'@CTA[8-2-3-3-5-3573,F,7,#6]'</f>
        <v>-3.637978807091713E-12</v>
      </c>
      <c r="J777" s="81">
        <f>[1]!'@CTA[8-2-1-3-5-3573,F,7,#6]'+[1]!'@CTA[8-2-3-3-5-3573,F,7,#6]'</f>
        <v>92100</v>
      </c>
      <c r="K777" s="76">
        <f>[1]!'@CTA[8-2-4-3-5-3573,J,7,#6]'</f>
        <v>165913.41</v>
      </c>
      <c r="L777" s="76">
        <f>[1]!'@CTA[8-2-5-3-5-3573,J,7,#6]'</f>
        <v>165913.41</v>
      </c>
      <c r="M777" s="76">
        <f>[1]!'@CTA[8-2-6-3-5-3573,J,7,#6]'</f>
        <v>165913.41</v>
      </c>
      <c r="N777" s="74">
        <f>[1]!'@CTA[8-2-7-3-5-3573,F,7,#6]'</f>
        <v>154313.41</v>
      </c>
      <c r="O777" s="66">
        <f t="shared" ref="O777:O840" si="54">J777-L777</f>
        <v>-73813.41</v>
      </c>
    </row>
    <row r="778" spans="1:15" ht="240" x14ac:dyDescent="0.2">
      <c r="A778" s="67" t="s">
        <v>298</v>
      </c>
      <c r="B778" s="61" t="s">
        <v>152</v>
      </c>
      <c r="C778" s="61" t="s">
        <v>149</v>
      </c>
      <c r="D778" s="62" t="s">
        <v>299</v>
      </c>
      <c r="E778" s="71" t="s">
        <v>177</v>
      </c>
      <c r="F778" s="72">
        <v>3574</v>
      </c>
      <c r="G778" s="73" t="s">
        <v>234</v>
      </c>
      <c r="H778" s="74">
        <f>[1]!'@CTA[8-2-1-3-5-3574,F,7,#6]'</f>
        <v>39600</v>
      </c>
      <c r="I778" s="74">
        <f>[1]!'@CTA[8-2-3-3-5-3574,F,7,#6]'</f>
        <v>0</v>
      </c>
      <c r="J778" s="75">
        <f>[1]!'@CTA[8-2-1-3-5-3574,F,7,#6]'+[1]!'@CTA[8-2-3-3-5-3574,F,7,#6]'</f>
        <v>39600</v>
      </c>
      <c r="K778" s="76">
        <f>[1]!'@CTA[8-2-4-3-5-3574,J,7,#6]'</f>
        <v>45900</v>
      </c>
      <c r="L778" s="76">
        <f>[1]!'@CTA[8-2-5-3-5-3574,J,7,#6]'</f>
        <v>45900</v>
      </c>
      <c r="M778" s="76">
        <f>[1]!'@CTA[8-2-6-3-5-3574,J,7,#6]'</f>
        <v>45900</v>
      </c>
      <c r="N778" s="74">
        <f>[1]!'@CTA[8-2-7-3-5-3574,F,7,#6]'</f>
        <v>28000</v>
      </c>
      <c r="O778" s="66">
        <f t="shared" si="54"/>
        <v>-6300</v>
      </c>
    </row>
    <row r="779" spans="1:15" ht="240" x14ac:dyDescent="0.2">
      <c r="A779" s="67" t="s">
        <v>298</v>
      </c>
      <c r="B779" s="61" t="s">
        <v>152</v>
      </c>
      <c r="C779" s="61" t="s">
        <v>149</v>
      </c>
      <c r="D779" s="62" t="s">
        <v>299</v>
      </c>
      <c r="E779" s="71" t="s">
        <v>177</v>
      </c>
      <c r="F779" s="72">
        <v>3575</v>
      </c>
      <c r="G779" s="73" t="s">
        <v>235</v>
      </c>
      <c r="H779" s="74">
        <f>[1]!'@CTA[8-2-1-3-5-3575,F,7,#6]'</f>
        <v>40600</v>
      </c>
      <c r="I779" s="74">
        <f>[1]!'@CTA[8-2-3-3-5-3575,F,7,#6]'</f>
        <v>0</v>
      </c>
      <c r="J779" s="75">
        <f>[1]!'@CTA[8-2-1-3-5-3575,F,7,#6]'+[1]!'@CTA[8-2-3-3-5-3575,F,7,#6]'</f>
        <v>40600</v>
      </c>
      <c r="K779" s="76">
        <f>[1]!'@CTA[8-2-4-3-5-3575,J,7,#6]'</f>
        <v>55015</v>
      </c>
      <c r="L779" s="76">
        <f>[1]!'@CTA[8-2-5-3-5-3575,J,7,#6]'</f>
        <v>55015</v>
      </c>
      <c r="M779" s="76">
        <f>[1]!'@CTA[8-2-6-3-5-3575,J,7,#6]'</f>
        <v>55015</v>
      </c>
      <c r="N779" s="74">
        <f>[1]!'@CTA[8-2-7-3-5-3575,F,7,#6]'</f>
        <v>40265.000000000007</v>
      </c>
      <c r="O779" s="66">
        <f t="shared" si="54"/>
        <v>-14415</v>
      </c>
    </row>
    <row r="780" spans="1:15" ht="240" x14ac:dyDescent="0.2">
      <c r="A780" s="67" t="s">
        <v>298</v>
      </c>
      <c r="B780" s="61" t="s">
        <v>152</v>
      </c>
      <c r="C780" s="61" t="s">
        <v>149</v>
      </c>
      <c r="D780" s="62" t="s">
        <v>299</v>
      </c>
      <c r="E780" s="71" t="s">
        <v>177</v>
      </c>
      <c r="F780" s="72">
        <v>3576</v>
      </c>
      <c r="G780" s="73" t="s">
        <v>236</v>
      </c>
      <c r="H780" s="74">
        <f>[1]!'@CTA[8-2-1-3-5-3576,F,7,#6]'</f>
        <v>31600</v>
      </c>
      <c r="I780" s="74">
        <f>[1]!'@CTA[8-2-3-3-5-3576,F,7,#6]'</f>
        <v>0</v>
      </c>
      <c r="J780" s="75">
        <f>[1]!'@CTA[8-2-1-3-5-3576,F,7,#6]'+[1]!'@CTA[8-2-3-3-5-3576,F,7,#6]'</f>
        <v>31600</v>
      </c>
      <c r="K780" s="76">
        <f>[1]!'@CTA[8-2-4-3-5-3576,J,7,#6]'</f>
        <v>8613.0499999999993</v>
      </c>
      <c r="L780" s="76">
        <f>[1]!'@CTA[8-2-5-3-5-3576,J,7,#6]'</f>
        <v>8613.0499999999993</v>
      </c>
      <c r="M780" s="76">
        <f>[1]!'@CTA[8-2-6-3-5-3576,J,7,#6]'</f>
        <v>8613.0499999999993</v>
      </c>
      <c r="N780" s="74">
        <f>[1]!'@CTA[8-2-7-3-5-3576,F,7,#6]'</f>
        <v>8613.0499999999993</v>
      </c>
      <c r="O780" s="66">
        <f t="shared" si="54"/>
        <v>22986.95</v>
      </c>
    </row>
    <row r="781" spans="1:15" ht="240" x14ac:dyDescent="0.2">
      <c r="A781" s="67" t="s">
        <v>298</v>
      </c>
      <c r="B781" s="61" t="s">
        <v>152</v>
      </c>
      <c r="C781" s="61" t="s">
        <v>149</v>
      </c>
      <c r="D781" s="62" t="s">
        <v>299</v>
      </c>
      <c r="E781" s="71" t="s">
        <v>177</v>
      </c>
      <c r="F781" s="72">
        <v>3577</v>
      </c>
      <c r="G781" s="73" t="s">
        <v>237</v>
      </c>
      <c r="H781" s="74">
        <f>[1]!'@CTA[8-2-1-3-5-3577,F,7,#6]'</f>
        <v>7100</v>
      </c>
      <c r="I781" s="74">
        <f>[1]!'@CTA[8-2-3-3-5-3577,F,7,#6]'</f>
        <v>0</v>
      </c>
      <c r="J781" s="75">
        <f>[1]!'@CTA[8-2-1-3-5-3577,F,7,#6]'+[1]!'@CTA[8-2-3-3-5-3577,F,7,#6]'</f>
        <v>7100</v>
      </c>
      <c r="K781" s="76">
        <f>[1]!'@CTA[8-2-4-3-5-3577,J,7,#6]'</f>
        <v>0</v>
      </c>
      <c r="L781" s="76">
        <f>[1]!'@CTA[8-2-5-3-5-3577,J,7,#6]'</f>
        <v>0</v>
      </c>
      <c r="M781" s="76">
        <f>[1]!'@CTA[8-2-6-3-5-3577,J,7,#6]'</f>
        <v>0</v>
      </c>
      <c r="N781" s="74">
        <f>[1]!'@CTA[8-2-7-3-5-3577,F,7,#6]'</f>
        <v>0</v>
      </c>
      <c r="O781" s="66">
        <f t="shared" si="54"/>
        <v>7100</v>
      </c>
    </row>
    <row r="782" spans="1:15" ht="240" x14ac:dyDescent="0.2">
      <c r="A782" s="67" t="s">
        <v>298</v>
      </c>
      <c r="B782" s="61" t="s">
        <v>152</v>
      </c>
      <c r="C782" s="61" t="s">
        <v>149</v>
      </c>
      <c r="D782" s="62" t="s">
        <v>299</v>
      </c>
      <c r="E782" s="71" t="s">
        <v>177</v>
      </c>
      <c r="F782" s="72">
        <v>3611</v>
      </c>
      <c r="G782" s="73" t="s">
        <v>238</v>
      </c>
      <c r="H782" s="74">
        <f>[1]!'@CTA[8-2-1-3-6-3611,F,7,#6]'</f>
        <v>0</v>
      </c>
      <c r="I782" s="74">
        <f>[1]!'@CTA[8-2-3-3-6-3611,F,7,#6]'</f>
        <v>0</v>
      </c>
      <c r="J782" s="75">
        <f>[1]!'@CTA[8-2-1-3-6-3611,F,7,#6]'+[1]!'@CTA[8-2-3-3-6-3611,F,7,#6]'</f>
        <v>0</v>
      </c>
      <c r="K782" s="76">
        <f>[1]!'@CTA[8-2-4-3-6-3611,J,7,#6]'</f>
        <v>0</v>
      </c>
      <c r="L782" s="76">
        <f>[1]!'@CTA[8-2-5-3-6-3611,J,7,#6]'</f>
        <v>0</v>
      </c>
      <c r="M782" s="76">
        <f>[1]!'@CTA[8-2-6-3-6-3611,J,7,#6]'</f>
        <v>0</v>
      </c>
      <c r="N782" s="74">
        <f>[1]!'@CTA[8-2-7-3-6-3611,F,7,#6]'</f>
        <v>0</v>
      </c>
      <c r="O782" s="66">
        <f t="shared" si="54"/>
        <v>0</v>
      </c>
    </row>
    <row r="783" spans="1:15" ht="240" x14ac:dyDescent="0.2">
      <c r="A783" s="67" t="s">
        <v>298</v>
      </c>
      <c r="B783" s="61" t="s">
        <v>152</v>
      </c>
      <c r="C783" s="61" t="s">
        <v>149</v>
      </c>
      <c r="D783" s="62" t="s">
        <v>299</v>
      </c>
      <c r="E783" s="71" t="s">
        <v>177</v>
      </c>
      <c r="F783" s="72">
        <v>3721</v>
      </c>
      <c r="G783" s="73" t="s">
        <v>239</v>
      </c>
      <c r="H783" s="74">
        <f>[1]!'@CTA[8-2-1-3-7-3721,F,7,#6]'</f>
        <v>900</v>
      </c>
      <c r="I783" s="74">
        <f>[1]!'@CTA[8-2-3-3-7-3721,F,7,#6]'</f>
        <v>0</v>
      </c>
      <c r="J783" s="75">
        <f>[1]!'@CTA[8-2-1-3-7-3721,F,7,#6]'+[1]!'@CTA[8-2-3-3-7-3721,F,7,#6]'</f>
        <v>900</v>
      </c>
      <c r="K783" s="76">
        <f>[1]!'@CTA[8-2-4-3-7-3721,J,7,#6]'</f>
        <v>0</v>
      </c>
      <c r="L783" s="76">
        <f>[1]!'@CTA[8-2-5-3-7-3721,J,7,#6]'</f>
        <v>0</v>
      </c>
      <c r="M783" s="76">
        <f>[1]!'@CTA[8-2-6-3-7-3721,J,7,#6]'</f>
        <v>0</v>
      </c>
      <c r="N783" s="74">
        <f>[1]!'@CTA[8-2-7-3-7-3721,F,7,#6]'</f>
        <v>2.8421709430404007E-14</v>
      </c>
      <c r="O783" s="66">
        <f t="shared" si="54"/>
        <v>900</v>
      </c>
    </row>
    <row r="784" spans="1:15" ht="240" x14ac:dyDescent="0.2">
      <c r="A784" s="67" t="s">
        <v>298</v>
      </c>
      <c r="B784" s="61" t="s">
        <v>152</v>
      </c>
      <c r="C784" s="61" t="s">
        <v>149</v>
      </c>
      <c r="D784" s="62" t="s">
        <v>299</v>
      </c>
      <c r="E784" s="71" t="s">
        <v>177</v>
      </c>
      <c r="F784" s="72">
        <v>3722</v>
      </c>
      <c r="G784" s="73" t="s">
        <v>240</v>
      </c>
      <c r="H784" s="74">
        <f>[1]!'@CTA[8-2-1-3-7-3722,F,7,#6]'</f>
        <v>0</v>
      </c>
      <c r="I784" s="74">
        <f>[1]!'@CTA[8-2-3-3-7-3722,F,7,#6]'</f>
        <v>0</v>
      </c>
      <c r="J784" s="75">
        <f>[1]!'@CTA[8-2-1-3-7-3722,F,7,#6]'+[1]!'@CTA[8-2-3-3-7-3722,F,7,#6]'</f>
        <v>0</v>
      </c>
      <c r="K784" s="76">
        <f>[1]!'@CTA[8-2-4-3-7-3722,J,7,#6]'</f>
        <v>0</v>
      </c>
      <c r="L784" s="76">
        <f>[1]!'@CTA[8-2-5-3-7-3722,J,7,#6]'</f>
        <v>0</v>
      </c>
      <c r="M784" s="76">
        <f>[1]!'@CTA[8-2-6-3-7-3722,J,7,#6]'</f>
        <v>0</v>
      </c>
      <c r="N784" s="74">
        <f>[1]!'@CTA[8-2-7-3-7-3722,F,7,#6]'</f>
        <v>0</v>
      </c>
      <c r="O784" s="66">
        <f t="shared" si="54"/>
        <v>0</v>
      </c>
    </row>
    <row r="785" spans="1:15" ht="240" x14ac:dyDescent="0.2">
      <c r="A785" s="67" t="s">
        <v>298</v>
      </c>
      <c r="B785" s="61" t="s">
        <v>152</v>
      </c>
      <c r="C785" s="61" t="s">
        <v>149</v>
      </c>
      <c r="D785" s="62" t="s">
        <v>299</v>
      </c>
      <c r="E785" s="71" t="s">
        <v>177</v>
      </c>
      <c r="F785" s="72">
        <v>3751</v>
      </c>
      <c r="G785" s="73" t="s">
        <v>241</v>
      </c>
      <c r="H785" s="74">
        <f>[1]!'@CTA[8-2-1-3-7-3751,F,7,#6]'</f>
        <v>1800</v>
      </c>
      <c r="I785" s="74">
        <f>[1]!'@CTA[8-2-3-3-7-3751,F,7,#6]'</f>
        <v>0</v>
      </c>
      <c r="J785" s="75">
        <f>[1]!'@CTA[8-2-1-3-7-3751,F,7,#6]'+[1]!'@CTA[8-2-3-3-7-3751,F,7,#6]'</f>
        <v>1800</v>
      </c>
      <c r="K785" s="76">
        <f>[1]!'@CTA[8-2-4-3-7-3751,J,7,#6]'</f>
        <v>591.4</v>
      </c>
      <c r="L785" s="76">
        <f>[1]!'@CTA[8-2-5-3-7-3751,J,7,#6]'</f>
        <v>591.4</v>
      </c>
      <c r="M785" s="76">
        <f>[1]!'@CTA[8-2-6-3-7-3751,J,7,#6]'</f>
        <v>591.4</v>
      </c>
      <c r="N785" s="74">
        <f>[1]!'@CTA[8-2-7-3-7-3751,F,7,#6]'</f>
        <v>591.4</v>
      </c>
      <c r="O785" s="66">
        <f t="shared" si="54"/>
        <v>1208.5999999999999</v>
      </c>
    </row>
    <row r="786" spans="1:15" ht="240" x14ac:dyDescent="0.2">
      <c r="A786" s="67" t="s">
        <v>298</v>
      </c>
      <c r="B786" s="61" t="s">
        <v>152</v>
      </c>
      <c r="C786" s="61" t="s">
        <v>149</v>
      </c>
      <c r="D786" s="62" t="s">
        <v>299</v>
      </c>
      <c r="E786" s="71" t="s">
        <v>177</v>
      </c>
      <c r="F786" s="72">
        <v>3821</v>
      </c>
      <c r="G786" s="73" t="s">
        <v>242</v>
      </c>
      <c r="H786" s="74">
        <f>[1]!'@CTA[8-2-1-3-8-3821,F,7,#6]'</f>
        <v>0</v>
      </c>
      <c r="I786" s="74">
        <f>[1]!'@CTA[8-2-3-3-8-3821,F,7,#6]'</f>
        <v>0</v>
      </c>
      <c r="J786" s="75">
        <f>[1]!'@CTA[8-2-1-3-8-3821,F,7,#6]'+[1]!'@CTA[8-2-3-3-8-3821,F,7,#6]'</f>
        <v>0</v>
      </c>
      <c r="K786" s="76">
        <f>[1]!'@CTA[8-2-4-3-8-3821,J,7,#6]'</f>
        <v>0</v>
      </c>
      <c r="L786" s="76">
        <f>[1]!'@CTA[8-2-5-3-8-3821,J,7,#6]'</f>
        <v>0</v>
      </c>
      <c r="M786" s="76">
        <f>[1]!'@CTA[8-2-6-3-8-3821,J,7,#6]'</f>
        <v>0</v>
      </c>
      <c r="N786" s="74">
        <f>[1]!'@CTA[8-2-7-3-8-3821,F,7,#6]'</f>
        <v>0</v>
      </c>
      <c r="O786" s="66">
        <f t="shared" si="54"/>
        <v>0</v>
      </c>
    </row>
    <row r="787" spans="1:15" ht="240" x14ac:dyDescent="0.2">
      <c r="A787" s="67" t="s">
        <v>298</v>
      </c>
      <c r="B787" s="61" t="s">
        <v>152</v>
      </c>
      <c r="C787" s="61" t="s">
        <v>149</v>
      </c>
      <c r="D787" s="62" t="s">
        <v>299</v>
      </c>
      <c r="E787" s="71" t="s">
        <v>177</v>
      </c>
      <c r="F787" s="72">
        <v>3822</v>
      </c>
      <c r="G787" s="73" t="s">
        <v>243</v>
      </c>
      <c r="H787" s="74">
        <f>[1]!'@CTA[8-2-1-3-8-3822,F,7,#6]'</f>
        <v>0</v>
      </c>
      <c r="I787" s="74">
        <f>[1]!'@CTA[8-2-3-3-8-3822,F,7,#6]'</f>
        <v>0</v>
      </c>
      <c r="J787" s="75">
        <f>[1]!'@CTA[8-2-1-3-8-3822,F,7,#6]'+[1]!'@CTA[8-2-3-3-8-3822,F,7,#6]'</f>
        <v>0</v>
      </c>
      <c r="K787" s="76">
        <f>[1]!'@CTA[8-2-4-3-8-3822,J,7,#6]'</f>
        <v>0</v>
      </c>
      <c r="L787" s="76">
        <f>[1]!'@CTA[8-2-5-3-8-3822,J,7,#6]'</f>
        <v>0</v>
      </c>
      <c r="M787" s="76">
        <f>[1]!'@CTA[8-2-6-3-8-3822,J,7,#6]'</f>
        <v>0</v>
      </c>
      <c r="N787" s="74">
        <f>[1]!'@CTA[8-2-7-3-8-3822,F,7,#6]'</f>
        <v>0</v>
      </c>
      <c r="O787" s="66">
        <f t="shared" si="54"/>
        <v>0</v>
      </c>
    </row>
    <row r="788" spans="1:15" ht="240" x14ac:dyDescent="0.2">
      <c r="A788" s="67" t="s">
        <v>298</v>
      </c>
      <c r="B788" s="61" t="s">
        <v>152</v>
      </c>
      <c r="C788" s="61" t="s">
        <v>149</v>
      </c>
      <c r="D788" s="62" t="s">
        <v>299</v>
      </c>
      <c r="E788" s="71" t="s">
        <v>177</v>
      </c>
      <c r="F788" s="72">
        <v>3831</v>
      </c>
      <c r="G788" s="73" t="s">
        <v>244</v>
      </c>
      <c r="H788" s="74">
        <f>[1]!'@CTA[8-2-1-3-8-3831,F,7,#6]'</f>
        <v>0</v>
      </c>
      <c r="I788" s="74">
        <f>[1]!'@CTA[8-2-3-3-8-3831,F,7,#6]'</f>
        <v>0</v>
      </c>
      <c r="J788" s="75">
        <f>[1]!'@CTA[8-2-1-3-8-3831,F,7,#6]'+[1]!'@CTA[8-2-3-3-8-3831,F,7,#6]'</f>
        <v>0</v>
      </c>
      <c r="K788" s="76">
        <f>[1]!'@CTA[8-2-4-3-8-3831,J,7,#6]'</f>
        <v>0</v>
      </c>
      <c r="L788" s="76">
        <f>[1]!'@CTA[8-2-5-3-8-3831,J,7,#6]'</f>
        <v>0</v>
      </c>
      <c r="M788" s="76">
        <f>[1]!'@CTA[8-2-6-3-8-3831,J,7,#6]'</f>
        <v>0</v>
      </c>
      <c r="N788" s="74">
        <f>[1]!'@CTA[8-2-7-3-8-3831,F,7,#6]'</f>
        <v>0</v>
      </c>
      <c r="O788" s="66">
        <f t="shared" si="54"/>
        <v>0</v>
      </c>
    </row>
    <row r="789" spans="1:15" ht="240" x14ac:dyDescent="0.2">
      <c r="A789" s="67" t="s">
        <v>298</v>
      </c>
      <c r="B789" s="61" t="s">
        <v>152</v>
      </c>
      <c r="C789" s="61" t="s">
        <v>149</v>
      </c>
      <c r="D789" s="62" t="s">
        <v>299</v>
      </c>
      <c r="E789" s="71" t="s">
        <v>177</v>
      </c>
      <c r="F789" s="72">
        <v>3851</v>
      </c>
      <c r="G789" s="73" t="s">
        <v>245</v>
      </c>
      <c r="H789" s="74">
        <f>[1]!'@CTA[8-2-1-3-8-3851,F,7,#6]'</f>
        <v>0</v>
      </c>
      <c r="I789" s="74">
        <f>[1]!'@CTA[8-2-3-3-8-3851,F,7,#6]'</f>
        <v>0</v>
      </c>
      <c r="J789" s="75">
        <f>[1]!'@CTA[8-2-1-3-8-3851,F,7,#6]'+[1]!'@CTA[8-2-3-3-8-3851,F,7,#6]'</f>
        <v>0</v>
      </c>
      <c r="K789" s="76">
        <f>[1]!'@CTA[8-2-4-3-8-3851,J,7,#6]'</f>
        <v>0</v>
      </c>
      <c r="L789" s="76">
        <f>[1]!'@CTA[8-2-5-3-8-3851,J,7,#6]'</f>
        <v>0</v>
      </c>
      <c r="M789" s="76">
        <f>[1]!'@CTA[8-2-6-3-8-3851,J,7,#6]'</f>
        <v>0</v>
      </c>
      <c r="N789" s="74">
        <f>[1]!'@CTA[8-2-7-3-8-3851,F,7,#6]'</f>
        <v>0</v>
      </c>
      <c r="O789" s="66">
        <f t="shared" si="54"/>
        <v>0</v>
      </c>
    </row>
    <row r="790" spans="1:15" ht="240" x14ac:dyDescent="0.2">
      <c r="A790" s="67" t="s">
        <v>298</v>
      </c>
      <c r="B790" s="61" t="s">
        <v>152</v>
      </c>
      <c r="C790" s="61" t="s">
        <v>149</v>
      </c>
      <c r="D790" s="62" t="s">
        <v>299</v>
      </c>
      <c r="E790" s="71" t="s">
        <v>177</v>
      </c>
      <c r="F790" s="72">
        <v>3921</v>
      </c>
      <c r="G790" s="73" t="s">
        <v>246</v>
      </c>
      <c r="H790" s="74">
        <f>[1]!'@CTA[8-2-1-3-9-3921,F,7,#6]'</f>
        <v>0</v>
      </c>
      <c r="I790" s="74">
        <f>[1]!'@CTA[8-2-3-3-9-3921,F,7,#6]'</f>
        <v>0</v>
      </c>
      <c r="J790" s="75">
        <f>[1]!'@CTA[8-2-1-3-9-3921,F,7,#6]'+[1]!'@CTA[8-2-3-3-9-3921,F,7,#6]'</f>
        <v>0</v>
      </c>
      <c r="K790" s="76">
        <f>[1]!'@CTA[8-2-4-3-9-3921,J,7,#6]'</f>
        <v>0</v>
      </c>
      <c r="L790" s="76">
        <f>[1]!'@CTA[8-2-5-3-9-3921,J,7,#6]'</f>
        <v>0</v>
      </c>
      <c r="M790" s="76">
        <f>[1]!'@CTA[8-2-6-3-9-3921,J,7,#6]'</f>
        <v>0</v>
      </c>
      <c r="N790" s="74">
        <f>[1]!'@CTA[8-2-7-3-9-3921,F,7,#6]'</f>
        <v>0</v>
      </c>
      <c r="O790" s="66">
        <f t="shared" si="54"/>
        <v>0</v>
      </c>
    </row>
    <row r="791" spans="1:15" ht="240" x14ac:dyDescent="0.2">
      <c r="A791" s="67" t="s">
        <v>298</v>
      </c>
      <c r="B791" s="61" t="s">
        <v>152</v>
      </c>
      <c r="C791" s="61" t="s">
        <v>149</v>
      </c>
      <c r="D791" s="62" t="s">
        <v>299</v>
      </c>
      <c r="E791" s="71" t="s">
        <v>177</v>
      </c>
      <c r="F791" s="72">
        <v>3922</v>
      </c>
      <c r="G791" s="73" t="s">
        <v>247</v>
      </c>
      <c r="H791" s="74">
        <f>[1]!'@CTA[8-2-1-3-9-3922,F,7,#6]'</f>
        <v>160421</v>
      </c>
      <c r="I791" s="74">
        <f>[1]!'@CTA[8-2-3-3-9-3922,F,7,#6]'</f>
        <v>0</v>
      </c>
      <c r="J791" s="75">
        <f>[1]!'@CTA[8-2-1-3-9-3922,F,7,#6]'+[1]!'@CTA[8-2-3-3-9-3922,F,7,#6]'</f>
        <v>160421</v>
      </c>
      <c r="K791" s="76">
        <f>[1]!'@CTA[8-2-4-3-9-3922,J,7,#6]'</f>
        <v>28843</v>
      </c>
      <c r="L791" s="76">
        <f>[1]!'@CTA[8-2-5-3-9-3922,J,7,#6]'</f>
        <v>28843</v>
      </c>
      <c r="M791" s="76">
        <f>[1]!'@CTA[8-2-6-3-9-3922,J,7,#6]'</f>
        <v>28843</v>
      </c>
      <c r="N791" s="74">
        <f>[1]!'@CTA[8-2-7-3-9-3922,F,7,#6]'</f>
        <v>28843</v>
      </c>
      <c r="O791" s="66">
        <f t="shared" si="54"/>
        <v>131578</v>
      </c>
    </row>
    <row r="792" spans="1:15" ht="240" x14ac:dyDescent="0.2">
      <c r="A792" s="67" t="s">
        <v>298</v>
      </c>
      <c r="B792" s="61" t="s">
        <v>152</v>
      </c>
      <c r="C792" s="61" t="s">
        <v>149</v>
      </c>
      <c r="D792" s="62" t="s">
        <v>299</v>
      </c>
      <c r="E792" s="71" t="s">
        <v>177</v>
      </c>
      <c r="F792" s="72">
        <v>3923</v>
      </c>
      <c r="G792" s="73" t="s">
        <v>248</v>
      </c>
      <c r="H792" s="74">
        <f>[1]!'@CTA[8-2-1-3-9-3923,F,7,#6]'</f>
        <v>431</v>
      </c>
      <c r="I792" s="74">
        <f>[1]!'@CTA[8-2-3-3-9-3923,F,7,#6]'</f>
        <v>0</v>
      </c>
      <c r="J792" s="75">
        <f>[1]!'@CTA[8-2-1-3-9-3923,F,7,#6]'+[1]!'@CTA[8-2-3-3-9-3923,F,7,#6]'</f>
        <v>431</v>
      </c>
      <c r="K792" s="76">
        <f>[1]!'@CTA[8-2-4-3-9-3923,J,7,#6]'</f>
        <v>431</v>
      </c>
      <c r="L792" s="76">
        <f>[1]!'@CTA[8-2-5-3-9-3923,J,7,#6]'</f>
        <v>431</v>
      </c>
      <c r="M792" s="76">
        <f>[1]!'@CTA[8-2-6-3-9-3923,J,7,#6]'</f>
        <v>431</v>
      </c>
      <c r="N792" s="74">
        <f>[1]!'@CTA[8-2-7-3-9-3923,F,7,#6]'</f>
        <v>431</v>
      </c>
      <c r="O792" s="66">
        <f t="shared" si="54"/>
        <v>0</v>
      </c>
    </row>
    <row r="793" spans="1:15" ht="240" x14ac:dyDescent="0.2">
      <c r="A793" s="67" t="s">
        <v>298</v>
      </c>
      <c r="B793" s="61" t="s">
        <v>152</v>
      </c>
      <c r="C793" s="61" t="s">
        <v>149</v>
      </c>
      <c r="D793" s="62" t="s">
        <v>299</v>
      </c>
      <c r="E793" s="71" t="s">
        <v>177</v>
      </c>
      <c r="F793" s="72">
        <v>3924</v>
      </c>
      <c r="G793" s="73" t="s">
        <v>249</v>
      </c>
      <c r="H793" s="74">
        <f>[1]!'@CTA[8-2-1-3-9-3924,F,7,#6]'</f>
        <v>959</v>
      </c>
      <c r="I793" s="74">
        <f>[1]!'@CTA[8-2-3-3-9-3924,F,7,#6]'</f>
        <v>0</v>
      </c>
      <c r="J793" s="75">
        <f>[1]!'@CTA[8-2-1-3-9-3924,F,7,#6]'+[1]!'@CTA[8-2-3-3-9-3924,F,7,#6]'</f>
        <v>959</v>
      </c>
      <c r="K793" s="76">
        <f>[1]!'@CTA[8-2-4-3-9-3924,J,7,#6]'</f>
        <v>977.34</v>
      </c>
      <c r="L793" s="76">
        <f>[1]!'@CTA[8-2-5-3-9-3924,J,7,#6]'</f>
        <v>977.34</v>
      </c>
      <c r="M793" s="76">
        <f>[1]!'@CTA[8-2-6-3-9-3924,J,7,#6]'</f>
        <v>977.34</v>
      </c>
      <c r="N793" s="74">
        <f>[1]!'@CTA[8-2-7-3-9-3924,F,7,#6]'</f>
        <v>977.34</v>
      </c>
      <c r="O793" s="66">
        <f t="shared" si="54"/>
        <v>-18.340000000000032</v>
      </c>
    </row>
    <row r="794" spans="1:15" ht="240" x14ac:dyDescent="0.2">
      <c r="A794" s="67" t="s">
        <v>298</v>
      </c>
      <c r="B794" s="61" t="s">
        <v>152</v>
      </c>
      <c r="C794" s="61" t="s">
        <v>149</v>
      </c>
      <c r="D794" s="62" t="s">
        <v>299</v>
      </c>
      <c r="E794" s="71" t="s">
        <v>177</v>
      </c>
      <c r="F794" s="72">
        <v>3925</v>
      </c>
      <c r="G794" s="73" t="s">
        <v>250</v>
      </c>
      <c r="H794" s="74">
        <f>[1]!'@CTA[8-2-1-3-9-3925,F,7,#6]'</f>
        <v>2139</v>
      </c>
      <c r="I794" s="74">
        <f>[1]!'@CTA[8-2-3-3-9-3925,F,7,#6]'</f>
        <v>0</v>
      </c>
      <c r="J794" s="75">
        <f>[1]!'@CTA[8-2-1-3-9-3925,F,7,#6]'+[1]!'@CTA[8-2-3-3-9-3925,F,7,#6]'</f>
        <v>2139</v>
      </c>
      <c r="K794" s="76">
        <f>[1]!'@CTA[8-2-4-3-9-3925,J,7,#6]'</f>
        <v>0</v>
      </c>
      <c r="L794" s="76">
        <f>[1]!'@CTA[8-2-5-3-9-3925,J,7,#6]'</f>
        <v>0</v>
      </c>
      <c r="M794" s="76">
        <f>[1]!'@CTA[8-2-6-3-9-3925,J,7,#6]'</f>
        <v>0</v>
      </c>
      <c r="N794" s="74">
        <f>[1]!'@CTA[8-2-7-3-9-3925,F,7,#6]'</f>
        <v>-4.5474735088646412E-13</v>
      </c>
      <c r="O794" s="66">
        <f t="shared" si="54"/>
        <v>2139</v>
      </c>
    </row>
    <row r="795" spans="1:15" ht="240" x14ac:dyDescent="0.2">
      <c r="A795" s="67" t="s">
        <v>298</v>
      </c>
      <c r="B795" s="61" t="s">
        <v>152</v>
      </c>
      <c r="C795" s="61" t="s">
        <v>149</v>
      </c>
      <c r="D795" s="62" t="s">
        <v>299</v>
      </c>
      <c r="E795" s="71" t="s">
        <v>177</v>
      </c>
      <c r="F795" s="72">
        <v>3926</v>
      </c>
      <c r="G795" s="73" t="s">
        <v>251</v>
      </c>
      <c r="H795" s="74">
        <f>[1]!'@CTA[8-2-1-3-9-3926,F,7,#6]'</f>
        <v>0</v>
      </c>
      <c r="I795" s="74">
        <f>[1]!'@CTA[8-2-3-3-9-3926,F,7,#6]'</f>
        <v>0</v>
      </c>
      <c r="J795" s="75">
        <f>[1]!'@CTA[8-2-1-3-9-3926,F,7,#6]'+[1]!'@CTA[8-2-3-3-9-3926,F,7,#6]'</f>
        <v>0</v>
      </c>
      <c r="K795" s="76">
        <f>[1]!'@CTA[8-2-4-3-9-3926,J,7,#6]'</f>
        <v>0</v>
      </c>
      <c r="L795" s="76">
        <f>[1]!'@CTA[8-2-5-3-9-3926,J,7,#6]'</f>
        <v>0</v>
      </c>
      <c r="M795" s="76">
        <f>[1]!'@CTA[8-2-6-3-9-3926,J,7,#6]'</f>
        <v>0</v>
      </c>
      <c r="N795" s="74">
        <f>[1]!'@CTA[8-2-7-3-9-3926,F,7,#6]'</f>
        <v>0</v>
      </c>
      <c r="O795" s="66">
        <f t="shared" si="54"/>
        <v>0</v>
      </c>
    </row>
    <row r="796" spans="1:15" ht="240" x14ac:dyDescent="0.2">
      <c r="A796" s="67" t="s">
        <v>298</v>
      </c>
      <c r="B796" s="61" t="s">
        <v>152</v>
      </c>
      <c r="C796" s="61" t="s">
        <v>149</v>
      </c>
      <c r="D796" s="62" t="s">
        <v>299</v>
      </c>
      <c r="E796" s="71" t="s">
        <v>177</v>
      </c>
      <c r="F796" s="72">
        <v>3961</v>
      </c>
      <c r="G796" s="73" t="s">
        <v>252</v>
      </c>
      <c r="H796" s="74">
        <f>[1]!'@CTA[8-2-1-3-9-3961,F,7,#6]'</f>
        <v>0</v>
      </c>
      <c r="I796" s="74">
        <f>[1]!'@CTA[8-2-3-3-9-3961,F,7,#6]'</f>
        <v>0</v>
      </c>
      <c r="J796" s="75">
        <f>[1]!'@CTA[8-2-1-3-9-3961,F,7,#6]'+[1]!'@CTA[8-2-3-3-9-3961,F,7,#6]'</f>
        <v>0</v>
      </c>
      <c r="K796" s="76">
        <f>[1]!'@CTA[8-2-4-3-9-3961,J,7,#6]'</f>
        <v>0</v>
      </c>
      <c r="L796" s="76">
        <f>[1]!'@CTA[8-2-5-3-9-3961,J,7,#6]'</f>
        <v>0</v>
      </c>
      <c r="M796" s="76">
        <f>[1]!'@CTA[8-2-6-3-9-3961,J,7,#6]'</f>
        <v>0</v>
      </c>
      <c r="N796" s="74">
        <f>[1]!'@CTA[8-2-7-3-9-3961,F,7,#6]'</f>
        <v>0</v>
      </c>
      <c r="O796" s="66">
        <f t="shared" si="54"/>
        <v>0</v>
      </c>
    </row>
    <row r="797" spans="1:15" ht="240" x14ac:dyDescent="0.2">
      <c r="A797" s="67" t="s">
        <v>298</v>
      </c>
      <c r="B797" s="61" t="s">
        <v>152</v>
      </c>
      <c r="C797" s="61" t="s">
        <v>149</v>
      </c>
      <c r="D797" s="62" t="s">
        <v>299</v>
      </c>
      <c r="E797" s="71" t="s">
        <v>177</v>
      </c>
      <c r="F797" s="72">
        <v>3962</v>
      </c>
      <c r="G797" s="73" t="s">
        <v>253</v>
      </c>
      <c r="H797" s="74">
        <f>[1]!'@CTA[8-2-1-3-9-3962,F,7,#6]'</f>
        <v>0</v>
      </c>
      <c r="I797" s="74">
        <f>[1]!'@CTA[8-2-3-3-9-3962,F,7,#6]'</f>
        <v>0</v>
      </c>
      <c r="J797" s="75">
        <f>[1]!'@CTA[8-2-1-3-9-3962,F,7,#6]'+[1]!'@CTA[8-2-3-3-9-3962,F,7,#6]'</f>
        <v>0</v>
      </c>
      <c r="K797" s="76">
        <f>[1]!'@CTA[8-2-4-3-9-3962,J,7,#6]'</f>
        <v>2549.48</v>
      </c>
      <c r="L797" s="76">
        <f>[1]!'@CTA[8-2-5-3-9-3962,J,7,#6]'</f>
        <v>2549.48</v>
      </c>
      <c r="M797" s="76">
        <f>[1]!'@CTA[8-2-6-3-9-3962,J,7,#6]'</f>
        <v>2549.48</v>
      </c>
      <c r="N797" s="74">
        <f>[1]!'@CTA[8-2-7-3-9-3962,F,7,#6]'</f>
        <v>2549.48</v>
      </c>
      <c r="O797" s="66">
        <f t="shared" si="54"/>
        <v>-2549.48</v>
      </c>
    </row>
    <row r="798" spans="1:15" ht="240" x14ac:dyDescent="0.2">
      <c r="A798" s="67" t="s">
        <v>298</v>
      </c>
      <c r="B798" s="61" t="s">
        <v>152</v>
      </c>
      <c r="C798" s="61" t="s">
        <v>149</v>
      </c>
      <c r="D798" s="62" t="s">
        <v>299</v>
      </c>
      <c r="E798" s="71" t="s">
        <v>254</v>
      </c>
      <c r="F798" s="72">
        <v>3981</v>
      </c>
      <c r="G798" s="73" t="s">
        <v>255</v>
      </c>
      <c r="H798" s="74">
        <f>[1]!'@CTA[8-2-1-3-9-3981,F,7,#6]'</f>
        <v>26001</v>
      </c>
      <c r="I798" s="74">
        <f>[1]!'@CTA[8-2-3-3-9-3981,F,7,#6]'</f>
        <v>2689.15</v>
      </c>
      <c r="J798" s="75">
        <f>[1]!'@CTA[8-2-1-3-9-3981,F,7,#6]'+[1]!'@CTA[8-2-3-3-9-3981,F,7,#6]'</f>
        <v>28690.15</v>
      </c>
      <c r="K798" s="76">
        <f>[1]!'@CTA[8-2-4-3-9-3981,J,7,#6]'</f>
        <v>5581.42</v>
      </c>
      <c r="L798" s="76">
        <f>[1]!'@CTA[8-2-5-3-9-3981,J,7,#6]'</f>
        <v>5581.42</v>
      </c>
      <c r="M798" s="76">
        <f>[1]!'@CTA[8-2-6-3-9-3981,J,7,#6]'</f>
        <v>5581.42</v>
      </c>
      <c r="N798" s="74">
        <f>[1]!'@CTA[8-2-7-3-9-3981,F,7,#6]'</f>
        <v>3487.3400000000038</v>
      </c>
      <c r="O798" s="66">
        <f t="shared" si="54"/>
        <v>23108.730000000003</v>
      </c>
    </row>
    <row r="799" spans="1:15" ht="240" x14ac:dyDescent="0.2">
      <c r="A799" s="67" t="s">
        <v>298</v>
      </c>
      <c r="B799" s="61"/>
      <c r="C799" s="61" t="s">
        <v>149</v>
      </c>
      <c r="D799" s="62" t="s">
        <v>299</v>
      </c>
      <c r="E799" s="61"/>
      <c r="F799" s="63">
        <v>5000</v>
      </c>
      <c r="G799" s="77" t="s">
        <v>256</v>
      </c>
      <c r="H799" s="69">
        <f t="shared" ref="H799:N799" si="55">SUBTOTAL(9,H800:H811)</f>
        <v>0</v>
      </c>
      <c r="I799" s="69">
        <f t="shared" si="55"/>
        <v>0</v>
      </c>
      <c r="J799" s="69">
        <f t="shared" si="55"/>
        <v>0</v>
      </c>
      <c r="K799" s="70">
        <f t="shared" si="55"/>
        <v>0</v>
      </c>
      <c r="L799" s="70">
        <f t="shared" si="55"/>
        <v>0</v>
      </c>
      <c r="M799" s="70">
        <f t="shared" si="55"/>
        <v>0</v>
      </c>
      <c r="N799" s="69">
        <f t="shared" si="55"/>
        <v>0</v>
      </c>
      <c r="O799" s="66">
        <f t="shared" si="54"/>
        <v>0</v>
      </c>
    </row>
    <row r="800" spans="1:15" ht="240" x14ac:dyDescent="0.2">
      <c r="A800" s="67" t="s">
        <v>298</v>
      </c>
      <c r="B800" s="61" t="s">
        <v>152</v>
      </c>
      <c r="C800" s="61" t="s">
        <v>149</v>
      </c>
      <c r="D800" s="62" t="s">
        <v>299</v>
      </c>
      <c r="E800" s="71" t="s">
        <v>257</v>
      </c>
      <c r="F800" s="72">
        <v>5111</v>
      </c>
      <c r="G800" s="73" t="s">
        <v>258</v>
      </c>
      <c r="H800" s="74">
        <f>[1]!'@CTA[8-2-1-5-1-5111,F,7,#6]'</f>
        <v>0</v>
      </c>
      <c r="I800" s="74">
        <f>[1]!'@CTA[8-2-3-5-1-5111,F,7,#6]'</f>
        <v>0</v>
      </c>
      <c r="J800" s="75">
        <f>[1]!'@CTA[8-2-1-5-1-5111,F,7,#6]'+[1]!'@CTA[8-2-3-5-1-5111,F,7,#6]'</f>
        <v>0</v>
      </c>
      <c r="K800" s="76">
        <f>[1]!'@CTA[8-2-4-5-1-5111,J,7,#6]'</f>
        <v>0</v>
      </c>
      <c r="L800" s="76">
        <f>[1]!'@CTA[8-2-5-5-1-5111,J,7,#6]'</f>
        <v>0</v>
      </c>
      <c r="M800" s="76">
        <f>[1]!'@CTA[8-2-6-5-1-5111,J,7,#6]'</f>
        <v>0</v>
      </c>
      <c r="N800" s="74">
        <f>[1]!'@CTA[8-2-7-5-1-5111,F,7,#6]'</f>
        <v>0</v>
      </c>
      <c r="O800" s="66">
        <f t="shared" si="54"/>
        <v>0</v>
      </c>
    </row>
    <row r="801" spans="1:15" ht="240" x14ac:dyDescent="0.2">
      <c r="A801" s="67" t="s">
        <v>298</v>
      </c>
      <c r="B801" s="61" t="s">
        <v>152</v>
      </c>
      <c r="C801" s="61" t="s">
        <v>149</v>
      </c>
      <c r="D801" s="62" t="s">
        <v>299</v>
      </c>
      <c r="E801" s="71" t="s">
        <v>259</v>
      </c>
      <c r="F801" s="72">
        <v>5151</v>
      </c>
      <c r="G801" s="73" t="s">
        <v>260</v>
      </c>
      <c r="H801" s="74">
        <f>[1]!'@CTA[8-2-1-5-1-5151,F,7,#6]'</f>
        <v>0</v>
      </c>
      <c r="I801" s="74">
        <f>[1]!'@CTA[8-2-3-5-1-5151,F,7,#6]'</f>
        <v>0</v>
      </c>
      <c r="J801" s="75">
        <f>[1]!'@CTA[8-2-1-5-1-5151,F,7,#6]'+[1]!'@CTA[8-2-3-5-1-5151,F,7,#6]'</f>
        <v>0</v>
      </c>
      <c r="K801" s="76">
        <f>[1]!'@CTA[8-2-4-5-1-5151,J,7,#6]'</f>
        <v>0</v>
      </c>
      <c r="L801" s="76">
        <f>[1]!'@CTA[8-2-5-5-1-5151,J,7,#6]'</f>
        <v>0</v>
      </c>
      <c r="M801" s="76">
        <f>[1]!'@CTA[8-2-6-5-1-5151,J,7,#6]'</f>
        <v>0</v>
      </c>
      <c r="N801" s="74">
        <f>[1]!'@CTA[8-2-7-5-1-5151,F,7,#6]'</f>
        <v>0</v>
      </c>
      <c r="O801" s="66">
        <f t="shared" si="54"/>
        <v>0</v>
      </c>
    </row>
    <row r="802" spans="1:15" ht="240" x14ac:dyDescent="0.2">
      <c r="A802" s="67" t="s">
        <v>298</v>
      </c>
      <c r="B802" s="61" t="s">
        <v>152</v>
      </c>
      <c r="C802" s="61" t="s">
        <v>149</v>
      </c>
      <c r="D802" s="62" t="s">
        <v>299</v>
      </c>
      <c r="E802" s="71" t="s">
        <v>259</v>
      </c>
      <c r="F802" s="72">
        <v>5152</v>
      </c>
      <c r="G802" s="73" t="s">
        <v>261</v>
      </c>
      <c r="H802" s="74">
        <f>[1]!'@CTA[8-2-1-5-1-5152,F,7,#6]'</f>
        <v>0</v>
      </c>
      <c r="I802" s="74">
        <f>[1]!'@CTA[8-2-3-5-1-5152,F,7,#6]'</f>
        <v>0</v>
      </c>
      <c r="J802" s="75">
        <f>[1]!'@CTA[8-2-1-5-1-5152,F,7,#6]'+[1]!'@CTA[8-2-3-5-1-5152,F,7,#6]'</f>
        <v>0</v>
      </c>
      <c r="K802" s="76">
        <f>[1]!'@CTA[8-2-4-5-1-5152,J,7,#6]'</f>
        <v>0</v>
      </c>
      <c r="L802" s="76">
        <f>[1]!'@CTA[8-2-5-5-1-5152,J,7,#6]'</f>
        <v>0</v>
      </c>
      <c r="M802" s="76">
        <f>[1]!'@CTA[8-2-6-5-1-5152,J,7,#6]'</f>
        <v>0</v>
      </c>
      <c r="N802" s="74">
        <f>[1]!'@CTA[8-2-7-5-1-5152,F,7,#6]'</f>
        <v>0</v>
      </c>
      <c r="O802" s="66">
        <f t="shared" si="54"/>
        <v>0</v>
      </c>
    </row>
    <row r="803" spans="1:15" ht="240" x14ac:dyDescent="0.2">
      <c r="A803" s="67" t="s">
        <v>298</v>
      </c>
      <c r="B803" s="61" t="s">
        <v>152</v>
      </c>
      <c r="C803" s="61" t="s">
        <v>149</v>
      </c>
      <c r="D803" s="62" t="s">
        <v>299</v>
      </c>
      <c r="E803" s="71" t="s">
        <v>259</v>
      </c>
      <c r="F803" s="72">
        <v>5153</v>
      </c>
      <c r="G803" s="73" t="s">
        <v>262</v>
      </c>
      <c r="H803" s="74">
        <f>[1]!'@CTA[8-2-1-5-1-5153,F,7,#6]'</f>
        <v>0</v>
      </c>
      <c r="I803" s="74">
        <f>[1]!'@CTA[8-2-3-5-1-5153,F,7,#6]'</f>
        <v>0</v>
      </c>
      <c r="J803" s="75">
        <f>[1]!'@CTA[8-2-1-5-1-5153,F,7,#6]'+[1]!'@CTA[8-2-3-5-1-5153,F,7,#6]'</f>
        <v>0</v>
      </c>
      <c r="K803" s="76">
        <f>[1]!'@CTA[8-2-4-5-1-5153,J,7,#6]'</f>
        <v>0</v>
      </c>
      <c r="L803" s="76">
        <f>[1]!'@CTA[8-2-5-5-1-5153,J,7,#6]'</f>
        <v>0</v>
      </c>
      <c r="M803" s="76">
        <f>[1]!'@CTA[8-2-6-5-1-5153,J,7,#6]'</f>
        <v>0</v>
      </c>
      <c r="N803" s="74">
        <f>[1]!'@CTA[8-2-7-5-1-5153,F,7,#6]'</f>
        <v>0</v>
      </c>
      <c r="O803" s="66">
        <f t="shared" si="54"/>
        <v>0</v>
      </c>
    </row>
    <row r="804" spans="1:15" ht="240" x14ac:dyDescent="0.2">
      <c r="A804" s="67" t="s">
        <v>298</v>
      </c>
      <c r="B804" s="61" t="s">
        <v>152</v>
      </c>
      <c r="C804" s="61" t="s">
        <v>149</v>
      </c>
      <c r="D804" s="62" t="s">
        <v>299</v>
      </c>
      <c r="E804" s="71" t="s">
        <v>257</v>
      </c>
      <c r="F804" s="72">
        <v>5231</v>
      </c>
      <c r="G804" s="73" t="s">
        <v>263</v>
      </c>
      <c r="H804" s="74">
        <f>[1]!'@CTA[8-2-1-5-2-5231,F,7,#6]'</f>
        <v>0</v>
      </c>
      <c r="I804" s="74">
        <f>[1]!'@CTA[8-2-3-5-2-5231,F,7,#6]'</f>
        <v>0</v>
      </c>
      <c r="J804" s="75">
        <f>[1]!'@CTA[8-2-1-5-2-5231,F,7,#6]'+[1]!'@CTA[8-2-3-5-2-5231,F,7,#6]'</f>
        <v>0</v>
      </c>
      <c r="K804" s="76">
        <f>[1]!'@CTA[8-2-4-5-2-5231,J,7,#6]'</f>
        <v>0</v>
      </c>
      <c r="L804" s="76">
        <f>[1]!'@CTA[8-2-5-5-2-5231,J,7,#6]'</f>
        <v>0</v>
      </c>
      <c r="M804" s="76">
        <f>[1]!'@CTA[8-2-6-5-2-5231,J,7,#6]'</f>
        <v>0</v>
      </c>
      <c r="N804" s="74">
        <f>[1]!'@CTA[8-2-7-5-2-5231,F,7,#6]'</f>
        <v>0</v>
      </c>
      <c r="O804" s="66">
        <f t="shared" si="54"/>
        <v>0</v>
      </c>
    </row>
    <row r="805" spans="1:15" ht="240" x14ac:dyDescent="0.2">
      <c r="A805" s="67" t="s">
        <v>298</v>
      </c>
      <c r="B805" s="61" t="s">
        <v>152</v>
      </c>
      <c r="C805" s="61" t="s">
        <v>149</v>
      </c>
      <c r="D805" s="62" t="s">
        <v>299</v>
      </c>
      <c r="E805" s="71" t="s">
        <v>257</v>
      </c>
      <c r="F805" s="72">
        <v>5311</v>
      </c>
      <c r="G805" s="73" t="s">
        <v>300</v>
      </c>
      <c r="H805" s="74">
        <f>[1]!'@CTA[8-2-1-5-3-5311,F,7,#6]'</f>
        <v>0</v>
      </c>
      <c r="I805" s="74">
        <f>[1]!'@CTA[8-2-3-5-3-5311,F,7,#6]'</f>
        <v>0</v>
      </c>
      <c r="J805" s="75">
        <f>[1]!'@CTA[8-2-1-5-3-5311,F,7,#6]'+[1]!'@CTA[8-2-3-5-3-5311,F,7,#6]'</f>
        <v>0</v>
      </c>
      <c r="K805" s="76">
        <f>[1]!'@CTA[8-2-4-5-3-5311,J,7,#6]'</f>
        <v>0</v>
      </c>
      <c r="L805" s="76">
        <f>[1]!'@CTA[8-2-5-5-3-5311,J,7,#6]'</f>
        <v>0</v>
      </c>
      <c r="M805" s="76">
        <f>[1]!'@CTA[8-2-6-5-3-5311,J,7,#6]'</f>
        <v>0</v>
      </c>
      <c r="N805" s="74">
        <f>[1]!'@CTA[8-2-7-5-3-5311,F,7,#6]'</f>
        <v>0</v>
      </c>
      <c r="O805" s="66">
        <f t="shared" si="54"/>
        <v>0</v>
      </c>
    </row>
    <row r="806" spans="1:15" ht="240" x14ac:dyDescent="0.2">
      <c r="A806" s="67" t="s">
        <v>298</v>
      </c>
      <c r="B806" s="61" t="s">
        <v>152</v>
      </c>
      <c r="C806" s="61" t="s">
        <v>149</v>
      </c>
      <c r="D806" s="62" t="s">
        <v>299</v>
      </c>
      <c r="E806" s="71" t="s">
        <v>264</v>
      </c>
      <c r="F806" s="72">
        <v>5411</v>
      </c>
      <c r="G806" s="73" t="s">
        <v>265</v>
      </c>
      <c r="H806" s="74">
        <f>[1]!'@CTA[8-2-1-5-4-5411,F,7,#6]'</f>
        <v>0</v>
      </c>
      <c r="I806" s="74">
        <f>[1]!'@CTA[8-2-3-5-4-5411,F,7,#6]'</f>
        <v>0</v>
      </c>
      <c r="J806" s="75">
        <f>[1]!'@CTA[8-2-1-5-4-5411,F,7,#6]'+[1]!'@CTA[8-2-3-5-4-5411,F,7,#6]'</f>
        <v>0</v>
      </c>
      <c r="K806" s="76">
        <f>[1]!'@CTA[8-2-4-5-4-5411,J,7,#6]'</f>
        <v>0</v>
      </c>
      <c r="L806" s="76">
        <f>[1]!'@CTA[8-2-5-5-4-5411,J,7,#6]'</f>
        <v>0</v>
      </c>
      <c r="M806" s="76">
        <f>[1]!'@CTA[8-2-6-5-4-5411,J,7,#6]'</f>
        <v>0</v>
      </c>
      <c r="N806" s="74">
        <f>[1]!'@CTA[8-2-7-5-4-5411,F,7,#6]'</f>
        <v>0</v>
      </c>
      <c r="O806" s="66">
        <f t="shared" si="54"/>
        <v>0</v>
      </c>
    </row>
    <row r="807" spans="1:15" ht="240" x14ac:dyDescent="0.2">
      <c r="A807" s="67" t="s">
        <v>298</v>
      </c>
      <c r="B807" s="61" t="s">
        <v>152</v>
      </c>
      <c r="C807" s="61" t="s">
        <v>149</v>
      </c>
      <c r="D807" s="62" t="s">
        <v>299</v>
      </c>
      <c r="E807" s="71" t="s">
        <v>264</v>
      </c>
      <c r="F807" s="72">
        <v>5491</v>
      </c>
      <c r="G807" s="73" t="s">
        <v>266</v>
      </c>
      <c r="H807" s="74">
        <f>[1]!'@CTA[8-2-1-5-4-5491,F,7,#6]'</f>
        <v>0</v>
      </c>
      <c r="I807" s="74">
        <f>[1]!'@CTA[8-2-3-5-4-5491,F,7,#6]'</f>
        <v>0</v>
      </c>
      <c r="J807" s="75">
        <f>[1]!'@CTA[8-2-1-5-4-5491,F,7,#6]'+[1]!'@CTA[8-2-3-5-4-5491,F,7,#6]'</f>
        <v>0</v>
      </c>
      <c r="K807" s="76">
        <f>[1]!'@CTA[8-2-4-5-4-5491,J,7,#6]'</f>
        <v>0</v>
      </c>
      <c r="L807" s="76">
        <f>[1]!'@CTA[8-2-5-5-4-5491,J,7,#6]'</f>
        <v>0</v>
      </c>
      <c r="M807" s="76">
        <f>[1]!'@CTA[8-2-6-5-4-5491,J,7,#6]'</f>
        <v>0</v>
      </c>
      <c r="N807" s="74">
        <f>[1]!'@CTA[8-2-7-5-4-5491,F,7,#6]'</f>
        <v>0</v>
      </c>
      <c r="O807" s="66">
        <f t="shared" si="54"/>
        <v>0</v>
      </c>
    </row>
    <row r="808" spans="1:15" ht="240" x14ac:dyDescent="0.2">
      <c r="A808" s="67" t="s">
        <v>298</v>
      </c>
      <c r="B808" s="61" t="s">
        <v>152</v>
      </c>
      <c r="C808" s="61" t="s">
        <v>149</v>
      </c>
      <c r="D808" s="62" t="s">
        <v>299</v>
      </c>
      <c r="E808" s="71" t="s">
        <v>257</v>
      </c>
      <c r="F808" s="72">
        <v>5631</v>
      </c>
      <c r="G808" s="73" t="s">
        <v>267</v>
      </c>
      <c r="H808" s="74">
        <f>[1]!'@CTA[8-2-1-5-6-5631,F,7,#6]'</f>
        <v>0</v>
      </c>
      <c r="I808" s="74">
        <f>[1]!'@CTA[8-2-3-5-6-5631,F,7,#6]'</f>
        <v>0</v>
      </c>
      <c r="J808" s="75">
        <f>[1]!'@CTA[8-2-1-5-6-5631,F,7,#6]'+[1]!'@CTA[8-2-3-5-6-5631,F,7,#6]'</f>
        <v>0</v>
      </c>
      <c r="K808" s="76">
        <f>[1]!'@CTA[8-2-4-5-6-5631,J,7,#6]'</f>
        <v>0</v>
      </c>
      <c r="L808" s="76">
        <f>[1]!'@CTA[8-2-5-5-6-5631,J,7,#6]'</f>
        <v>0</v>
      </c>
      <c r="M808" s="76">
        <f>[1]!'@CTA[8-2-6-5-6-5631,J,7,#6]'</f>
        <v>0</v>
      </c>
      <c r="N808" s="74">
        <f>[1]!'@CTA[8-2-7-5-6-5631,F,7,#6]'</f>
        <v>0</v>
      </c>
      <c r="O808" s="66">
        <f t="shared" si="54"/>
        <v>0</v>
      </c>
    </row>
    <row r="809" spans="1:15" ht="240" x14ac:dyDescent="0.2">
      <c r="A809" s="67" t="s">
        <v>298</v>
      </c>
      <c r="B809" s="61" t="s">
        <v>152</v>
      </c>
      <c r="C809" s="61" t="s">
        <v>149</v>
      </c>
      <c r="D809" s="62" t="s">
        <v>299</v>
      </c>
      <c r="E809" s="71" t="s">
        <v>257</v>
      </c>
      <c r="F809" s="72">
        <v>5651</v>
      </c>
      <c r="G809" s="73" t="s">
        <v>268</v>
      </c>
      <c r="H809" s="74">
        <f>[1]!'@CTA[8-2-1-5-6-5651,F,7,#6]'</f>
        <v>0</v>
      </c>
      <c r="I809" s="74">
        <f>[1]!'@CTA[8-2-3-5-6-5651,F,7,#6]'</f>
        <v>0</v>
      </c>
      <c r="J809" s="75">
        <f>[1]!'@CTA[8-2-1-5-6-5651,F,7,#6]'+[1]!'@CTA[8-2-3-5-6-5651,F,7,#6]'</f>
        <v>0</v>
      </c>
      <c r="K809" s="76">
        <f>[1]!'@CTA[8-2-4-5-6-5651,J,7,#6]'</f>
        <v>0</v>
      </c>
      <c r="L809" s="76">
        <f>[1]!'@CTA[8-2-5-5-6-5651,J,7,#6]'</f>
        <v>0</v>
      </c>
      <c r="M809" s="76">
        <f>[1]!'@CTA[8-2-6-5-6-5651,J,7,#6]'</f>
        <v>0</v>
      </c>
      <c r="N809" s="74">
        <f>[1]!'@CTA[8-2-7-5-6-5651,F,7,#6]'</f>
        <v>0</v>
      </c>
      <c r="O809" s="66">
        <f t="shared" si="54"/>
        <v>0</v>
      </c>
    </row>
    <row r="810" spans="1:15" ht="240" x14ac:dyDescent="0.2">
      <c r="A810" s="67" t="s">
        <v>298</v>
      </c>
      <c r="B810" s="61" t="s">
        <v>152</v>
      </c>
      <c r="C810" s="61" t="s">
        <v>149</v>
      </c>
      <c r="D810" s="62" t="s">
        <v>299</v>
      </c>
      <c r="E810" s="71" t="s">
        <v>257</v>
      </c>
      <c r="F810" s="80">
        <v>5671</v>
      </c>
      <c r="G810" s="73" t="s">
        <v>269</v>
      </c>
      <c r="H810" s="74">
        <f>[1]!'@CTA[8-2-1-5-6-5671,F,7,#6]'</f>
        <v>0</v>
      </c>
      <c r="I810" s="74">
        <f>[1]!'@CTA[8-2-3-5-6-5671,F,7,#6]'</f>
        <v>0</v>
      </c>
      <c r="J810" s="75">
        <f>[1]!'@CTA[8-2-1-5-6-5671,F,7,#6]'+[1]!'@CTA[8-2-3-5-6-5671,F,7,#6]'</f>
        <v>0</v>
      </c>
      <c r="K810" s="76">
        <f>[1]!'@CTA[8-2-4-5-6-5671,J,7,#6]'</f>
        <v>0</v>
      </c>
      <c r="L810" s="76">
        <f>[1]!'@CTA[8-2-5-5-6-5671,J,7,#6]'</f>
        <v>0</v>
      </c>
      <c r="M810" s="76">
        <f>[1]!'@CTA[8-2-6-5-6-5671,J,7,#6]'</f>
        <v>0</v>
      </c>
      <c r="N810" s="74">
        <f>[1]!'@CTA[8-2-7-5-6-5671,F,7,#6]'</f>
        <v>0</v>
      </c>
      <c r="O810" s="66">
        <f t="shared" si="54"/>
        <v>0</v>
      </c>
    </row>
    <row r="811" spans="1:15" ht="240" x14ac:dyDescent="0.2">
      <c r="A811" s="67" t="s">
        <v>298</v>
      </c>
      <c r="B811" s="61" t="s">
        <v>152</v>
      </c>
      <c r="C811" s="61" t="s">
        <v>149</v>
      </c>
      <c r="D811" s="62" t="s">
        <v>299</v>
      </c>
      <c r="E811" s="71" t="s">
        <v>270</v>
      </c>
      <c r="F811" s="72">
        <v>5911</v>
      </c>
      <c r="G811" s="73" t="s">
        <v>271</v>
      </c>
      <c r="H811" s="74">
        <f>[1]!'@CTA[8-2-1-5-9-5911,F,7,#6]'</f>
        <v>0</v>
      </c>
      <c r="I811" s="74">
        <f>[1]!'@CTA[8-2-3-5-9-5911,F,7,#6]'</f>
        <v>0</v>
      </c>
      <c r="J811" s="75">
        <f>[1]!'@CTA[8-2-1-5-9-5911,F,7,#6]'+[1]!'@CTA[8-2-3-5-9-5911,F,7,#6]'</f>
        <v>0</v>
      </c>
      <c r="K811" s="76">
        <f>[1]!'@CTA[8-2-4-5-9-5911,J,7,#6]'</f>
        <v>0</v>
      </c>
      <c r="L811" s="76">
        <f>[1]!'@CTA[8-2-5-5-9-5911,J,7,#6]'</f>
        <v>0</v>
      </c>
      <c r="M811" s="76">
        <f>[1]!'@CTA[8-2-6-5-9-5911,J,7,#6]'</f>
        <v>0</v>
      </c>
      <c r="N811" s="74">
        <f>[1]!'@CTA[8-2-7-5-9-5911,F,7,#6]'</f>
        <v>0</v>
      </c>
      <c r="O811" s="66">
        <f t="shared" si="54"/>
        <v>0</v>
      </c>
    </row>
    <row r="812" spans="1:15" ht="240" x14ac:dyDescent="0.2">
      <c r="A812" s="67" t="s">
        <v>298</v>
      </c>
      <c r="B812" s="61"/>
      <c r="C812" s="61" t="s">
        <v>149</v>
      </c>
      <c r="D812" s="62" t="s">
        <v>299</v>
      </c>
      <c r="E812" s="71"/>
      <c r="F812" s="63">
        <v>6000</v>
      </c>
      <c r="G812" s="68" t="s">
        <v>274</v>
      </c>
      <c r="H812" s="69">
        <f t="shared" ref="H812:N812" si="56">SUBTOTAL(9,H813:H816)</f>
        <v>0</v>
      </c>
      <c r="I812" s="69">
        <f t="shared" si="56"/>
        <v>0</v>
      </c>
      <c r="J812" s="69">
        <f t="shared" si="56"/>
        <v>0</v>
      </c>
      <c r="K812" s="70">
        <f t="shared" si="56"/>
        <v>0</v>
      </c>
      <c r="L812" s="70">
        <f t="shared" si="56"/>
        <v>0</v>
      </c>
      <c r="M812" s="70">
        <f t="shared" si="56"/>
        <v>0</v>
      </c>
      <c r="N812" s="69">
        <f t="shared" si="56"/>
        <v>0</v>
      </c>
      <c r="O812" s="66">
        <f t="shared" si="54"/>
        <v>0</v>
      </c>
    </row>
    <row r="813" spans="1:15" ht="240" x14ac:dyDescent="0.2">
      <c r="A813" s="67" t="s">
        <v>298</v>
      </c>
      <c r="B813" s="61" t="s">
        <v>275</v>
      </c>
      <c r="C813" s="61" t="s">
        <v>149</v>
      </c>
      <c r="D813" s="62" t="s">
        <v>299</v>
      </c>
      <c r="E813" s="71" t="s">
        <v>276</v>
      </c>
      <c r="F813" s="72">
        <v>6131</v>
      </c>
      <c r="G813" s="78" t="s">
        <v>277</v>
      </c>
      <c r="H813" s="74">
        <f>[1]!'@CTA[8-2-1-6-1-6131,F,7,#6]'</f>
        <v>0</v>
      </c>
      <c r="I813" s="74">
        <f>[1]!'@CTA[8-2-3-6-1-6131,F,7,#6]'</f>
        <v>0</v>
      </c>
      <c r="J813" s="75">
        <f>[1]!'@CTA[8-2-1-6-1-6131,F,7,#6]'+[1]!'@CTA[8-2-3-6-1-6131,F,7,#6]'</f>
        <v>0</v>
      </c>
      <c r="K813" s="76">
        <f>[1]!'@CTA[8-2-4-6-1-6131,J,7,#6]'</f>
        <v>0</v>
      </c>
      <c r="L813" s="76">
        <f>[1]!'@CTA[8-2-5-6-1-6131,J,7,#6]'</f>
        <v>0</v>
      </c>
      <c r="M813" s="76">
        <f>[1]!'@CTA[8-2-6-6-1-6131,J,7,#6]'</f>
        <v>0</v>
      </c>
      <c r="N813" s="74">
        <f>[1]!'@CTA[8-2-7-6-1-6131,F,7,#6]'</f>
        <v>0</v>
      </c>
      <c r="O813" s="66">
        <f t="shared" si="54"/>
        <v>0</v>
      </c>
    </row>
    <row r="814" spans="1:15" ht="240" x14ac:dyDescent="0.2">
      <c r="A814" s="67" t="s">
        <v>298</v>
      </c>
      <c r="B814" s="61" t="s">
        <v>275</v>
      </c>
      <c r="C814" s="61" t="s">
        <v>149</v>
      </c>
      <c r="D814" s="62" t="s">
        <v>299</v>
      </c>
      <c r="E814" s="71" t="s">
        <v>276</v>
      </c>
      <c r="F814" s="72">
        <v>6161</v>
      </c>
      <c r="G814" s="78" t="s">
        <v>278</v>
      </c>
      <c r="H814" s="74">
        <f>[1]!'@CTA[8-2-1-6-1-6161,F,7,#6]'</f>
        <v>0</v>
      </c>
      <c r="I814" s="74">
        <f>[1]!'@CTA[8-2-3-6-1-6161,F,7,#6]'</f>
        <v>0</v>
      </c>
      <c r="J814" s="75">
        <f>[1]!'@CTA[8-2-1-6-1-6161,F,7,#6]'+[1]!'@CTA[8-2-3-6-1-6161,F,7,#6]'</f>
        <v>0</v>
      </c>
      <c r="K814" s="76">
        <f>[1]!'@CTA[8-2-4-6-1-6161,J,7,#6]'</f>
        <v>0</v>
      </c>
      <c r="L814" s="76">
        <f>[1]!'@CTA[8-2-5-6-1-6161,J,7,#6]'</f>
        <v>0</v>
      </c>
      <c r="M814" s="76">
        <f>[1]!'@CTA[8-2-6-6-1-6161,J,7,#6]'</f>
        <v>0</v>
      </c>
      <c r="N814" s="74">
        <f>[1]!'@CTA[8-2-7-6-1-6161,F,7,#6]'</f>
        <v>0</v>
      </c>
      <c r="O814" s="66">
        <f t="shared" si="54"/>
        <v>0</v>
      </c>
    </row>
    <row r="815" spans="1:15" ht="240" x14ac:dyDescent="0.2">
      <c r="A815" s="67" t="s">
        <v>298</v>
      </c>
      <c r="B815" s="61" t="s">
        <v>275</v>
      </c>
      <c r="C815" s="61" t="s">
        <v>149</v>
      </c>
      <c r="D815" s="62" t="s">
        <v>299</v>
      </c>
      <c r="E815" s="71" t="s">
        <v>276</v>
      </c>
      <c r="F815" s="72">
        <v>6162</v>
      </c>
      <c r="G815" s="78" t="s">
        <v>279</v>
      </c>
      <c r="H815" s="74">
        <f>[1]!'@CTA[8-2-1-6-1-6162,F,7,#6]'</f>
        <v>0</v>
      </c>
      <c r="I815" s="74">
        <f>[1]!'@CTA[8-2-3-6-1-6162,F,7,#6]'</f>
        <v>0</v>
      </c>
      <c r="J815" s="75">
        <f>[1]!'@CTA[8-2-1-6-1-6162,F,7,#6]'+[1]!'@CTA[8-2-3-6-1-6162,F,7,#6]'</f>
        <v>0</v>
      </c>
      <c r="K815" s="76">
        <f>[1]!'@CTA[8-2-4-6-1-6162,J,7,#6]'</f>
        <v>0</v>
      </c>
      <c r="L815" s="76">
        <f>[1]!'@CTA[8-2-5-6-1-6162,J,7,#6]'</f>
        <v>0</v>
      </c>
      <c r="M815" s="76">
        <f>[1]!'@CTA[8-2-6-6-1-6162,J,7,#6]'</f>
        <v>0</v>
      </c>
      <c r="N815" s="74">
        <f>[1]!'@CTA[8-2-7-6-1-6162,F,7,#6]'</f>
        <v>0</v>
      </c>
      <c r="O815" s="66">
        <f t="shared" si="54"/>
        <v>0</v>
      </c>
    </row>
    <row r="816" spans="1:15" ht="240" x14ac:dyDescent="0.2">
      <c r="A816" s="67" t="s">
        <v>298</v>
      </c>
      <c r="B816" s="61" t="s">
        <v>275</v>
      </c>
      <c r="C816" s="61" t="s">
        <v>149</v>
      </c>
      <c r="D816" s="62" t="s">
        <v>299</v>
      </c>
      <c r="E816" s="71" t="s">
        <v>276</v>
      </c>
      <c r="F816" s="72">
        <v>6171</v>
      </c>
      <c r="G816" s="78" t="s">
        <v>280</v>
      </c>
      <c r="H816" s="74">
        <f>[1]!'@CTA[8-2-1-6-1-6171,F,7,#6]'</f>
        <v>0</v>
      </c>
      <c r="I816" s="74">
        <f>[1]!'@CTA[8-2-3-6-1-6171,F,7,#6]'</f>
        <v>0</v>
      </c>
      <c r="J816" s="75">
        <f>[1]!'@CTA[8-2-1-6-1-6171,F,7,#6]'+[1]!'@CTA[8-2-3-6-1-6171,F,7,#6]'</f>
        <v>0</v>
      </c>
      <c r="K816" s="76">
        <f>[1]!'@CTA[8-2-4-6-1-6171,J,7,#6]'</f>
        <v>0</v>
      </c>
      <c r="L816" s="76">
        <f>[1]!'@CTA[8-2-5-6-1-6171,J,7,#6]'</f>
        <v>0</v>
      </c>
      <c r="M816" s="76">
        <f>[1]!'@CTA[8-2-6-6-1-6171,J,7,#6]'</f>
        <v>0</v>
      </c>
      <c r="N816" s="74">
        <f>[1]!'@CTA[8-2-7-6-1-6171,F,7,#6]'</f>
        <v>0</v>
      </c>
      <c r="O816" s="66">
        <f t="shared" si="54"/>
        <v>0</v>
      </c>
    </row>
    <row r="817" spans="1:15" ht="12" x14ac:dyDescent="0.2">
      <c r="A817" s="67"/>
      <c r="B817" s="61"/>
      <c r="C817" s="61"/>
      <c r="D817" s="82"/>
      <c r="E817" s="61"/>
      <c r="F817" s="63"/>
      <c r="G817" s="64" t="s">
        <v>301</v>
      </c>
      <c r="H817" s="65">
        <f>SUBTOTAL(9,H818:H934)</f>
        <v>20068827</v>
      </c>
      <c r="I817" s="65">
        <f t="shared" ref="I817:N817" si="57">SUBTOTAL(9,I818:I934)</f>
        <v>115684.75999999995</v>
      </c>
      <c r="J817" s="65">
        <f t="shared" si="57"/>
        <v>20184511.760000002</v>
      </c>
      <c r="K817" s="65">
        <f t="shared" si="57"/>
        <v>4888335.05</v>
      </c>
      <c r="L817" s="65">
        <f t="shared" si="57"/>
        <v>4888335.05</v>
      </c>
      <c r="M817" s="65">
        <f t="shared" si="57"/>
        <v>4888335.05</v>
      </c>
      <c r="N817" s="65">
        <f t="shared" si="57"/>
        <v>4774668.6700000018</v>
      </c>
      <c r="O817" s="66">
        <f t="shared" si="54"/>
        <v>15296176.710000001</v>
      </c>
    </row>
    <row r="818" spans="1:15" ht="120" x14ac:dyDescent="0.2">
      <c r="A818" s="67" t="s">
        <v>302</v>
      </c>
      <c r="B818" s="61"/>
      <c r="C818" s="61"/>
      <c r="D818" s="62" t="s">
        <v>303</v>
      </c>
      <c r="E818" s="61"/>
      <c r="F818" s="63">
        <v>1000</v>
      </c>
      <c r="G818" s="68" t="s">
        <v>151</v>
      </c>
      <c r="H818" s="69">
        <f t="shared" ref="H818:N818" si="58">SUBTOTAL(9,H819:H837)</f>
        <v>6826994</v>
      </c>
      <c r="I818" s="69">
        <f t="shared" si="58"/>
        <v>100901.58999999998</v>
      </c>
      <c r="J818" s="69">
        <f t="shared" si="58"/>
        <v>6927895.5899999999</v>
      </c>
      <c r="K818" s="70">
        <f t="shared" si="58"/>
        <v>1322337.98</v>
      </c>
      <c r="L818" s="70">
        <f t="shared" si="58"/>
        <v>1322337.98</v>
      </c>
      <c r="M818" s="70">
        <f t="shared" si="58"/>
        <v>1322337.98</v>
      </c>
      <c r="N818" s="69">
        <f t="shared" si="58"/>
        <v>1194589.9899999995</v>
      </c>
      <c r="O818" s="66">
        <f t="shared" si="54"/>
        <v>5605557.6099999994</v>
      </c>
    </row>
    <row r="819" spans="1:15" ht="120" x14ac:dyDescent="0.2">
      <c r="A819" s="67" t="s">
        <v>302</v>
      </c>
      <c r="B819" s="61" t="s">
        <v>152</v>
      </c>
      <c r="C819" s="61" t="s">
        <v>149</v>
      </c>
      <c r="D819" s="62" t="s">
        <v>303</v>
      </c>
      <c r="E819" s="71" t="s">
        <v>153</v>
      </c>
      <c r="F819" s="72">
        <v>1131</v>
      </c>
      <c r="G819" s="73" t="s">
        <v>154</v>
      </c>
      <c r="H819" s="74">
        <f>[1]!'@CTA[8-2-1-1-1-1131,F,1,#6]'</f>
        <v>3646544</v>
      </c>
      <c r="I819" s="74">
        <f>[1]!'@CTA[8-2-3-1-1-1131,F,1,#6]'</f>
        <v>0</v>
      </c>
      <c r="J819" s="75">
        <f>[1]!'@CTA[8-2-1-1-1-1131,F,1,#6]'+[1]!'@CTA[8-2-3-1-1-1131,F,1,#6]'</f>
        <v>3646544</v>
      </c>
      <c r="K819" s="76">
        <f>[1]!'@CTA[8-2-4-1-1-1131,J,1,#6]'</f>
        <v>813409.02</v>
      </c>
      <c r="L819" s="76">
        <f>[1]!'@CTA[8-2-5-1-1-1131,J,1,#6]'</f>
        <v>813409.02</v>
      </c>
      <c r="M819" s="76">
        <f>[1]!'@CTA[8-2-6-1-1-1131,J,1,#6]'</f>
        <v>813409.02</v>
      </c>
      <c r="N819" s="74">
        <f>[1]!'@CTA[8-2-7-1-1-1131,F,1,#6]'</f>
        <v>749927.77999999956</v>
      </c>
      <c r="O819" s="66">
        <f t="shared" si="54"/>
        <v>2833134.98</v>
      </c>
    </row>
    <row r="820" spans="1:15" ht="120" x14ac:dyDescent="0.2">
      <c r="A820" s="67" t="s">
        <v>302</v>
      </c>
      <c r="B820" s="61" t="s">
        <v>152</v>
      </c>
      <c r="C820" s="61" t="s">
        <v>149</v>
      </c>
      <c r="D820" s="62" t="s">
        <v>303</v>
      </c>
      <c r="E820" s="71" t="s">
        <v>153</v>
      </c>
      <c r="F820" s="72">
        <v>1211</v>
      </c>
      <c r="G820" s="73" t="s">
        <v>156</v>
      </c>
      <c r="H820" s="74">
        <f>[1]!'@CTA[8-2-1-1-2-1211,F,1,#6]'</f>
        <v>0</v>
      </c>
      <c r="I820" s="74">
        <f>[1]!'@CTA[8-2-3-1-2-1211,F,1,#6]'</f>
        <v>0</v>
      </c>
      <c r="J820" s="75">
        <f>[1]!'@CTA[8-2-1-1-2-1211,F,1,#6]'+[1]!'@CTA[8-2-3-1-2-1211,F,1,#6]'</f>
        <v>0</v>
      </c>
      <c r="K820" s="76">
        <f>[1]!'@CTA[8-2-4-1-2-1211,J,1,#6]'</f>
        <v>0</v>
      </c>
      <c r="L820" s="76">
        <f>[1]!'@CTA[8-2-5-1-2-1211,J,1,#6]'</f>
        <v>0</v>
      </c>
      <c r="M820" s="76">
        <f>[1]!'@CTA[8-2-6-1-2-1211,J,1,#6]'</f>
        <v>0</v>
      </c>
      <c r="N820" s="74">
        <f>[1]!'@CTA[8-2-7-1-2-1211,F,1,#6]'</f>
        <v>0</v>
      </c>
      <c r="O820" s="66">
        <f t="shared" si="54"/>
        <v>0</v>
      </c>
    </row>
    <row r="821" spans="1:15" ht="120" x14ac:dyDescent="0.2">
      <c r="A821" s="67" t="s">
        <v>302</v>
      </c>
      <c r="B821" s="61" t="s">
        <v>152</v>
      </c>
      <c r="C821" s="61" t="s">
        <v>149</v>
      </c>
      <c r="D821" s="62" t="s">
        <v>303</v>
      </c>
      <c r="E821" s="71" t="s">
        <v>153</v>
      </c>
      <c r="F821" s="72">
        <v>1221</v>
      </c>
      <c r="G821" s="73" t="s">
        <v>155</v>
      </c>
      <c r="H821" s="74">
        <f>[1]!'@CTA[8-2-1-1-2-1221,F,1,#6]'</f>
        <v>154397</v>
      </c>
      <c r="I821" s="74">
        <f>[1]!'@CTA[8-2-3-1-2-1221,F,1,#6]'</f>
        <v>0</v>
      </c>
      <c r="J821" s="75">
        <f>[1]!'@CTA[8-2-1-1-2-1221,F,1,#6]'+[1]!'@CTA[8-2-3-1-2-1221,F,1,#6]'</f>
        <v>154397</v>
      </c>
      <c r="K821" s="76">
        <f>[1]!'@CTA[8-2-4-1-2-1221,J,1,#6]'</f>
        <v>0</v>
      </c>
      <c r="L821" s="76">
        <f>[1]!'@CTA[8-2-5-1-2-1221,J,1,#6]'</f>
        <v>0</v>
      </c>
      <c r="M821" s="76">
        <f>[1]!'@CTA[8-2-6-1-2-1221,J,1,#6]'</f>
        <v>0</v>
      </c>
      <c r="N821" s="74">
        <f>[1]!'@CTA[8-2-7-1-2-1221,F,1,#6]'</f>
        <v>0</v>
      </c>
      <c r="O821" s="66">
        <f t="shared" si="54"/>
        <v>154397</v>
      </c>
    </row>
    <row r="822" spans="1:15" ht="120" x14ac:dyDescent="0.2">
      <c r="A822" s="67" t="s">
        <v>302</v>
      </c>
      <c r="B822" s="61" t="s">
        <v>152</v>
      </c>
      <c r="C822" s="61" t="s">
        <v>149</v>
      </c>
      <c r="D822" s="62" t="s">
        <v>303</v>
      </c>
      <c r="E822" s="71" t="s">
        <v>153</v>
      </c>
      <c r="F822" s="72">
        <v>1311</v>
      </c>
      <c r="G822" s="73" t="s">
        <v>157</v>
      </c>
      <c r="H822" s="74">
        <f>[1]!'@CTA[8-2-1-1-3-1311,F,1,#6]'</f>
        <v>0</v>
      </c>
      <c r="I822" s="74">
        <f>[1]!'@CTA[8-2-3-1-3-1311,F,1,#6]'</f>
        <v>0</v>
      </c>
      <c r="J822" s="75">
        <f>[1]!'@CTA[8-2-1-1-3-1311,F,1,#6]'+[1]!'@CTA[8-2-3-1-3-1311,F,1,#6]'</f>
        <v>0</v>
      </c>
      <c r="K822" s="76">
        <f>[1]!'@CTA[8-2-4-1-3-1311,J,1,#6]'</f>
        <v>0</v>
      </c>
      <c r="L822" s="76">
        <f>[1]!'@CTA[8-2-5-1-3-1311,J,1,#6]'</f>
        <v>0</v>
      </c>
      <c r="M822" s="76">
        <f>[1]!'@CTA[8-2-6-1-3-1311,J,1,#6]'</f>
        <v>0</v>
      </c>
      <c r="N822" s="74">
        <f>[1]!'@CTA[8-2-7-1-3-1311,F,1,#6]'</f>
        <v>0</v>
      </c>
      <c r="O822" s="66">
        <f t="shared" si="54"/>
        <v>0</v>
      </c>
    </row>
    <row r="823" spans="1:15" ht="120" x14ac:dyDescent="0.2">
      <c r="A823" s="67" t="s">
        <v>302</v>
      </c>
      <c r="B823" s="61" t="s">
        <v>152</v>
      </c>
      <c r="C823" s="61" t="s">
        <v>149</v>
      </c>
      <c r="D823" s="62" t="s">
        <v>303</v>
      </c>
      <c r="E823" s="71" t="s">
        <v>153</v>
      </c>
      <c r="F823" s="72">
        <v>1321</v>
      </c>
      <c r="G823" s="73" t="s">
        <v>158</v>
      </c>
      <c r="H823" s="74">
        <f>[1]!'@CTA[8-2-1-1-3-1321,F,1,#6]'</f>
        <v>58666</v>
      </c>
      <c r="I823" s="74">
        <f>[1]!'@CTA[8-2-3-1-3-1321,F,1,#6]'</f>
        <v>0</v>
      </c>
      <c r="J823" s="75">
        <f>[1]!'@CTA[8-2-1-1-3-1321,F,1,#6]'+[1]!'@CTA[8-2-3-1-3-1321,F,1,#6]'</f>
        <v>58666</v>
      </c>
      <c r="K823" s="76">
        <f>[1]!'@CTA[8-2-4-1-3-1321,J,1,#6]'</f>
        <v>12954.85</v>
      </c>
      <c r="L823" s="76">
        <f>[1]!'@CTA[8-2-5-1-3-1321,J,1,#6]'</f>
        <v>12954.85</v>
      </c>
      <c r="M823" s="76">
        <f>[1]!'@CTA[8-2-6-1-3-1321,J,1,#6]'</f>
        <v>12954.85</v>
      </c>
      <c r="N823" s="74">
        <f>[1]!'@CTA[8-2-7-1-3-1321,F,1,#6]'</f>
        <v>12066.599999999993</v>
      </c>
      <c r="O823" s="66">
        <f t="shared" si="54"/>
        <v>45711.15</v>
      </c>
    </row>
    <row r="824" spans="1:15" ht="120" x14ac:dyDescent="0.2">
      <c r="A824" s="67" t="s">
        <v>302</v>
      </c>
      <c r="B824" s="61" t="s">
        <v>152</v>
      </c>
      <c r="C824" s="61" t="s">
        <v>149</v>
      </c>
      <c r="D824" s="62" t="s">
        <v>303</v>
      </c>
      <c r="E824" s="71" t="s">
        <v>153</v>
      </c>
      <c r="F824" s="72">
        <v>1322</v>
      </c>
      <c r="G824" s="73" t="s">
        <v>159</v>
      </c>
      <c r="H824" s="74">
        <f>[1]!'@CTA[8-2-1-1-3-1322,F,1,#6]'</f>
        <v>123397</v>
      </c>
      <c r="I824" s="74">
        <f>[1]!'@CTA[8-2-3-1-3-1322,F,1,#6]'</f>
        <v>0</v>
      </c>
      <c r="J824" s="75">
        <f>[1]!'@CTA[8-2-1-1-3-1322,F,1,#6]'+[1]!'@CTA[8-2-3-1-3-1322,F,1,#6]'</f>
        <v>123397</v>
      </c>
      <c r="K824" s="76">
        <f>[1]!'@CTA[8-2-4-1-3-1322,J,1,#6]'</f>
        <v>17795.36</v>
      </c>
      <c r="L824" s="76">
        <f>[1]!'@CTA[8-2-5-1-3-1322,J,1,#6]'</f>
        <v>17795.36</v>
      </c>
      <c r="M824" s="76">
        <f>[1]!'@CTA[8-2-6-1-3-1322,J,1,#6]'</f>
        <v>17795.36</v>
      </c>
      <c r="N824" s="74">
        <f>[1]!'@CTA[8-2-7-1-3-1322,F,1,#6]'</f>
        <v>16698.620000000014</v>
      </c>
      <c r="O824" s="66">
        <f t="shared" si="54"/>
        <v>105601.64</v>
      </c>
    </row>
    <row r="825" spans="1:15" ht="120" x14ac:dyDescent="0.2">
      <c r="A825" s="67" t="s">
        <v>302</v>
      </c>
      <c r="B825" s="61" t="s">
        <v>152</v>
      </c>
      <c r="C825" s="61" t="s">
        <v>149</v>
      </c>
      <c r="D825" s="62" t="s">
        <v>303</v>
      </c>
      <c r="E825" s="71" t="s">
        <v>153</v>
      </c>
      <c r="F825" s="72">
        <v>1323</v>
      </c>
      <c r="G825" s="73" t="s">
        <v>160</v>
      </c>
      <c r="H825" s="74">
        <f>[1]!'@CTA[8-2-1-1-3-1323,F,1,#6]'</f>
        <v>431393</v>
      </c>
      <c r="I825" s="74">
        <f>[1]!'@CTA[8-2-3-1-3-1323,F,1,#6]'</f>
        <v>-1.4551915228366852E-11</v>
      </c>
      <c r="J825" s="75">
        <f>[1]!'@CTA[8-2-1-1-3-1323,F,1,#6]'+[1]!'@CTA[8-2-3-1-3-1323,F,1,#6]'</f>
        <v>431393</v>
      </c>
      <c r="K825" s="76">
        <f>[1]!'@CTA[8-2-4-1-3-1323,J,1,#6]'</f>
        <v>233.26</v>
      </c>
      <c r="L825" s="76">
        <f>[1]!'@CTA[8-2-5-1-3-1323,J,1,#6]'</f>
        <v>233.26</v>
      </c>
      <c r="M825" s="76">
        <f>[1]!'@CTA[8-2-6-1-3-1323,J,1,#6]'</f>
        <v>233.26</v>
      </c>
      <c r="N825" s="74">
        <f>[1]!'@CTA[8-2-7-1-3-1323,F,1,#6]'</f>
        <v>233.2600000000582</v>
      </c>
      <c r="O825" s="66">
        <f t="shared" si="54"/>
        <v>431159.74</v>
      </c>
    </row>
    <row r="826" spans="1:15" ht="120" x14ac:dyDescent="0.2">
      <c r="A826" s="67" t="s">
        <v>302</v>
      </c>
      <c r="B826" s="61" t="s">
        <v>152</v>
      </c>
      <c r="C826" s="61" t="s">
        <v>149</v>
      </c>
      <c r="D826" s="62" t="s">
        <v>303</v>
      </c>
      <c r="E826" s="71" t="s">
        <v>153</v>
      </c>
      <c r="F826" s="72">
        <v>1331</v>
      </c>
      <c r="G826" s="73" t="s">
        <v>161</v>
      </c>
      <c r="H826" s="74">
        <f>[1]!'@CTA[8-2-1-1-3-1331,F,1,#6]'</f>
        <v>117497</v>
      </c>
      <c r="I826" s="74">
        <f>[1]!'@CTA[8-2-3-1-3-1331,F,1,#6]'</f>
        <v>0</v>
      </c>
      <c r="J826" s="75">
        <f>[1]!'@CTA[8-2-1-1-3-1331,F,1,#6]'+[1]!'@CTA[8-2-3-1-3-1331,F,1,#6]'</f>
        <v>117497</v>
      </c>
      <c r="K826" s="76">
        <f>[1]!'@CTA[8-2-4-1-3-1331,J,1,#6]'</f>
        <v>17449.59</v>
      </c>
      <c r="L826" s="76">
        <f>[1]!'@CTA[8-2-5-1-3-1331,J,1,#6]'</f>
        <v>17449.59</v>
      </c>
      <c r="M826" s="76">
        <f>[1]!'@CTA[8-2-6-1-3-1331,J,1,#6]'</f>
        <v>17449.59</v>
      </c>
      <c r="N826" s="74">
        <f>[1]!'@CTA[8-2-7-1-3-1331,F,1,#6]'</f>
        <v>13833.099999999982</v>
      </c>
      <c r="O826" s="66">
        <f t="shared" si="54"/>
        <v>100047.41</v>
      </c>
    </row>
    <row r="827" spans="1:15" ht="120" x14ac:dyDescent="0.2">
      <c r="A827" s="67" t="s">
        <v>302</v>
      </c>
      <c r="B827" s="61" t="s">
        <v>152</v>
      </c>
      <c r="C827" s="61" t="s">
        <v>149</v>
      </c>
      <c r="D827" s="62" t="s">
        <v>303</v>
      </c>
      <c r="E827" s="71" t="s">
        <v>153</v>
      </c>
      <c r="F827" s="72">
        <v>1341</v>
      </c>
      <c r="G827" s="73" t="s">
        <v>162</v>
      </c>
      <c r="H827" s="74">
        <f>[1]!'@CTA[8-2-1-1-3-1341,F,1,#6]'</f>
        <v>187465</v>
      </c>
      <c r="I827" s="74">
        <f>[1]!'@CTA[8-2-3-1-3-1341,F,1,#6]'</f>
        <v>0</v>
      </c>
      <c r="J827" s="75">
        <f>[1]!'@CTA[8-2-1-1-3-1341,F,1,#6]'+[1]!'@CTA[8-2-3-1-3-1341,F,1,#6]'</f>
        <v>187465</v>
      </c>
      <c r="K827" s="76">
        <f>[1]!'@CTA[8-2-4-1-3-1341,J,1,#6]'</f>
        <v>19285.75</v>
      </c>
      <c r="L827" s="76">
        <f>[1]!'@CTA[8-2-5-1-3-1341,J,1,#6]'</f>
        <v>19285.75</v>
      </c>
      <c r="M827" s="76">
        <f>[1]!'@CTA[8-2-6-1-3-1341,J,1,#6]'</f>
        <v>19285.75</v>
      </c>
      <c r="N827" s="74">
        <f>[1]!'@CTA[8-2-7-1-3-1341,F,1,#6]'</f>
        <v>19285.75</v>
      </c>
      <c r="O827" s="66">
        <f t="shared" si="54"/>
        <v>168179.25</v>
      </c>
    </row>
    <row r="828" spans="1:15" ht="120" x14ac:dyDescent="0.2">
      <c r="A828" s="67" t="s">
        <v>302</v>
      </c>
      <c r="B828" s="61" t="s">
        <v>163</v>
      </c>
      <c r="C828" s="61" t="s">
        <v>149</v>
      </c>
      <c r="D828" s="62" t="s">
        <v>303</v>
      </c>
      <c r="E828" s="71" t="s">
        <v>164</v>
      </c>
      <c r="F828" s="72">
        <v>1411</v>
      </c>
      <c r="G828" s="73" t="s">
        <v>165</v>
      </c>
      <c r="H828" s="74">
        <f>[1]!'@CTA[8-2-1-1-4-1411,F,1,#6]'</f>
        <v>547544</v>
      </c>
      <c r="I828" s="74">
        <f>[1]!'@CTA[8-2-3-1-4-1411,F,1,#6]'</f>
        <v>37001.64</v>
      </c>
      <c r="J828" s="75">
        <f>[1]!'@CTA[8-2-1-1-4-1411,F,1,#6]'+[1]!'@CTA[8-2-3-1-4-1411,F,1,#6]'</f>
        <v>584545.64</v>
      </c>
      <c r="K828" s="76">
        <f>[1]!'@CTA[8-2-4-1-4-1411,J,1,#6]'</f>
        <v>117965.51999999999</v>
      </c>
      <c r="L828" s="76">
        <f>[1]!'@CTA[8-2-5-1-4-1411,J,1,#6]'</f>
        <v>117965.51999999999</v>
      </c>
      <c r="M828" s="76">
        <f>[1]!'@CTA[8-2-6-1-4-1411,J,1,#6]'</f>
        <v>117965.51999999999</v>
      </c>
      <c r="N828" s="74">
        <f>[1]!'@CTA[8-2-7-1-4-1411,F,1,#6]'</f>
        <v>78183.23</v>
      </c>
      <c r="O828" s="66">
        <f t="shared" si="54"/>
        <v>466580.12</v>
      </c>
    </row>
    <row r="829" spans="1:15" ht="120" x14ac:dyDescent="0.2">
      <c r="A829" s="67" t="s">
        <v>302</v>
      </c>
      <c r="B829" s="61" t="s">
        <v>163</v>
      </c>
      <c r="C829" s="61" t="s">
        <v>149</v>
      </c>
      <c r="D829" s="62" t="s">
        <v>303</v>
      </c>
      <c r="E829" s="71" t="s">
        <v>164</v>
      </c>
      <c r="F829" s="72">
        <v>1421</v>
      </c>
      <c r="G829" s="73" t="s">
        <v>166</v>
      </c>
      <c r="H829" s="74">
        <f>[1]!'@CTA[8-2-1-1-4-1421,F,1,#6]'</f>
        <v>241024</v>
      </c>
      <c r="I829" s="74">
        <f>[1]!'@CTA[8-2-3-1-4-1421,F,1,#6]'</f>
        <v>31477.83</v>
      </c>
      <c r="J829" s="75">
        <f>[1]!'@CTA[8-2-1-1-4-1421,F,1,#6]'+[1]!'@CTA[8-2-3-1-4-1421,F,1,#6]'</f>
        <v>272501.83</v>
      </c>
      <c r="K829" s="76">
        <f>[1]!'@CTA[8-2-4-1-4-1421,J,1,#6]'</f>
        <v>35486.21</v>
      </c>
      <c r="L829" s="76">
        <f>[1]!'@CTA[8-2-5-1-4-1421,J,1,#6]'</f>
        <v>35486.21</v>
      </c>
      <c r="M829" s="76">
        <f>[1]!'@CTA[8-2-6-1-4-1421,J,1,#6]'</f>
        <v>35486.21</v>
      </c>
      <c r="N829" s="74">
        <f>[1]!'@CTA[8-2-7-1-4-1421,F,1,#6]'</f>
        <v>35486.21</v>
      </c>
      <c r="O829" s="66">
        <f t="shared" si="54"/>
        <v>237015.62000000002</v>
      </c>
    </row>
    <row r="830" spans="1:15" ht="120" x14ac:dyDescent="0.2">
      <c r="A830" s="67" t="s">
        <v>302</v>
      </c>
      <c r="B830" s="61" t="s">
        <v>163</v>
      </c>
      <c r="C830" s="61" t="s">
        <v>149</v>
      </c>
      <c r="D830" s="62" t="s">
        <v>303</v>
      </c>
      <c r="E830" s="71" t="s">
        <v>164</v>
      </c>
      <c r="F830" s="72">
        <v>1431</v>
      </c>
      <c r="G830" s="73" t="s">
        <v>167</v>
      </c>
      <c r="H830" s="74">
        <f>[1]!'@CTA[8-2-1-1-4-1431,F,1,#6]'</f>
        <v>248255</v>
      </c>
      <c r="I830" s="74">
        <f>[1]!'@CTA[8-2-3-1-4-1431,F,1,#6]'</f>
        <v>32422.12</v>
      </c>
      <c r="J830" s="75">
        <f>[1]!'@CTA[8-2-1-1-4-1431,F,1,#6]'+[1]!'@CTA[8-2-3-1-4-1431,F,1,#6]'</f>
        <v>280677.12</v>
      </c>
      <c r="K830" s="76">
        <f>[1]!'@CTA[8-2-4-1-4-1431,J,1,#6]'</f>
        <v>36550.74</v>
      </c>
      <c r="L830" s="76">
        <f>[1]!'@CTA[8-2-5-1-4-1431,J,1,#6]'</f>
        <v>36550.74</v>
      </c>
      <c r="M830" s="76">
        <f>[1]!'@CTA[8-2-6-1-4-1431,J,1,#6]'</f>
        <v>36550.74</v>
      </c>
      <c r="N830" s="74">
        <f>[1]!'@CTA[8-2-7-1-4-1431,F,1,#6]'</f>
        <v>36550.74</v>
      </c>
      <c r="O830" s="66">
        <f t="shared" si="54"/>
        <v>244126.38</v>
      </c>
    </row>
    <row r="831" spans="1:15" ht="120" x14ac:dyDescent="0.2">
      <c r="A831" s="67" t="s">
        <v>302</v>
      </c>
      <c r="B831" s="61" t="s">
        <v>163</v>
      </c>
      <c r="C831" s="61" t="s">
        <v>149</v>
      </c>
      <c r="D831" s="62" t="s">
        <v>303</v>
      </c>
      <c r="E831" s="71" t="s">
        <v>164</v>
      </c>
      <c r="F831" s="72">
        <v>1441</v>
      </c>
      <c r="G831" s="73" t="s">
        <v>168</v>
      </c>
      <c r="H831" s="74">
        <f>[1]!'@CTA[8-2-1-1-4-1441,F,1,#6]'</f>
        <v>22526</v>
      </c>
      <c r="I831" s="74">
        <f>[1]!'@CTA[8-2-3-1-4-1441,F,1,#6]'</f>
        <v>0</v>
      </c>
      <c r="J831" s="75">
        <f>[1]!'@CTA[8-2-1-1-4-1441,F,1,#6]'+[1]!'@CTA[8-2-3-1-4-1441,F,1,#6]'</f>
        <v>22526</v>
      </c>
      <c r="K831" s="76">
        <f>[1]!'@CTA[8-2-4-1-4-1441,J,1,#6]'</f>
        <v>4791.33</v>
      </c>
      <c r="L831" s="83">
        <f>[1]!'@CTA[8-2-5-1-4-1441,J,1,#6]'</f>
        <v>4791.33</v>
      </c>
      <c r="M831" s="76">
        <f>[1]!'@CTA[8-2-6-1-4-1441,J,1,#6]'</f>
        <v>4791.33</v>
      </c>
      <c r="N831" s="74">
        <f>[1]!'@CTA[8-2-7-1-4-1441,F,1,#6]'</f>
        <v>4791.3300000000036</v>
      </c>
      <c r="O831" s="66">
        <f t="shared" si="54"/>
        <v>17734.669999999998</v>
      </c>
    </row>
    <row r="832" spans="1:15" ht="120" x14ac:dyDescent="0.2">
      <c r="A832" s="67" t="s">
        <v>302</v>
      </c>
      <c r="B832" s="61" t="s">
        <v>169</v>
      </c>
      <c r="C832" s="61" t="s">
        <v>149</v>
      </c>
      <c r="D832" s="62" t="s">
        <v>303</v>
      </c>
      <c r="E832" s="71" t="s">
        <v>153</v>
      </c>
      <c r="F832" s="72">
        <v>1521</v>
      </c>
      <c r="G832" s="73" t="s">
        <v>170</v>
      </c>
      <c r="H832" s="74">
        <f>[1]!'@CTA[8-2-1-1-5-1521,F,1,#6]'</f>
        <v>0</v>
      </c>
      <c r="I832" s="74">
        <f>[1]!'@CTA[8-2-3-1-5-1521,F,1,#6]'</f>
        <v>0</v>
      </c>
      <c r="J832" s="75">
        <f>[1]!'@CTA[8-2-1-1-5-1521,F,1,#6]'+[1]!'@CTA[8-2-3-1-5-1521,F,1,#6]'</f>
        <v>0</v>
      </c>
      <c r="K832" s="76">
        <f>[1]!'@CTA[8-2-4-1-5-1521,J,1,#6]'</f>
        <v>0</v>
      </c>
      <c r="L832" s="76">
        <f>[1]!'@CTA[8-2-5-1-5-1521,J,1,#6]'</f>
        <v>0</v>
      </c>
      <c r="M832" s="76">
        <f>[1]!'@CTA[8-2-6-1-5-1521,J,1,#6]'</f>
        <v>0</v>
      </c>
      <c r="N832" s="74">
        <f>[1]!'@CTA[8-2-7-1-5-1521,F,1,#6]'</f>
        <v>-3.637978807091713E-12</v>
      </c>
      <c r="O832" s="66">
        <f t="shared" si="54"/>
        <v>0</v>
      </c>
    </row>
    <row r="833" spans="1:15" ht="120" x14ac:dyDescent="0.2">
      <c r="A833" s="67" t="s">
        <v>302</v>
      </c>
      <c r="B833" s="61" t="s">
        <v>152</v>
      </c>
      <c r="C833" s="61" t="s">
        <v>149</v>
      </c>
      <c r="D833" s="62" t="s">
        <v>303</v>
      </c>
      <c r="E833" s="71" t="s">
        <v>153</v>
      </c>
      <c r="F833" s="72">
        <v>1522</v>
      </c>
      <c r="G833" s="73" t="s">
        <v>171</v>
      </c>
      <c r="H833" s="74">
        <f>[1]!'@CTA[8-2-1-1-5-1522,F,1,#6]'</f>
        <v>0</v>
      </c>
      <c r="I833" s="74">
        <f>[1]!'@CTA[8-2-3-1-5-1522,F,1,#6]'</f>
        <v>0</v>
      </c>
      <c r="J833" s="75">
        <f>[1]!'@CTA[8-2-1-1-5-1522,F,1,#6]'+[1]!'@CTA[8-2-3-1-5-1522,F,1,#6]'</f>
        <v>0</v>
      </c>
      <c r="K833" s="76">
        <f>[1]!'@CTA[8-2-4-1-5-1522,J,1,#6]'</f>
        <v>0</v>
      </c>
      <c r="L833" s="76">
        <f>[1]!'@CTA[8-2-5-1-5-1522,J,1,#6]'</f>
        <v>0</v>
      </c>
      <c r="M833" s="76">
        <f>[1]!'@CTA[8-2-6-1-5-1522,J,1,#6]'</f>
        <v>0</v>
      </c>
      <c r="N833" s="74">
        <f>[1]!'@CTA[8-2-7-1-5-1522,F,1,#6]'</f>
        <v>0</v>
      </c>
      <c r="O833" s="66">
        <f t="shared" si="54"/>
        <v>0</v>
      </c>
    </row>
    <row r="834" spans="1:15" ht="120" x14ac:dyDescent="0.2">
      <c r="A834" s="67" t="s">
        <v>302</v>
      </c>
      <c r="B834" s="61" t="s">
        <v>152</v>
      </c>
      <c r="C834" s="61" t="s">
        <v>149</v>
      </c>
      <c r="D834" s="62" t="s">
        <v>303</v>
      </c>
      <c r="E834" s="71" t="s">
        <v>153</v>
      </c>
      <c r="F834" s="72">
        <v>1541</v>
      </c>
      <c r="G834" s="73" t="s">
        <v>172</v>
      </c>
      <c r="H834" s="74">
        <f>[1]!'@CTA[8-2-1-1-5-1541,F,1,#6]'</f>
        <v>718533</v>
      </c>
      <c r="I834" s="74">
        <f>[1]!'@CTA[8-2-3-1-5-1541,F,1,#6]'</f>
        <v>0</v>
      </c>
      <c r="J834" s="75">
        <f>[1]!'@CTA[8-2-1-1-5-1541,F,1,#6]'+[1]!'@CTA[8-2-3-1-5-1541,F,1,#6]'</f>
        <v>718533</v>
      </c>
      <c r="K834" s="76">
        <f>[1]!'@CTA[8-2-4-1-5-1541,J,1,#6]'</f>
        <v>170079.94</v>
      </c>
      <c r="L834" s="76">
        <f>[1]!'@CTA[8-2-5-1-5-1541,J,1,#6]'</f>
        <v>170079.94</v>
      </c>
      <c r="M834" s="76">
        <f>[1]!'@CTA[8-2-6-1-5-1541,J,1,#6]'</f>
        <v>170079.94</v>
      </c>
      <c r="N834" s="74">
        <f>[1]!'@CTA[8-2-7-1-5-1541,F,1,#6]'</f>
        <v>170079.94000000012</v>
      </c>
      <c r="O834" s="66">
        <f t="shared" si="54"/>
        <v>548453.06000000006</v>
      </c>
    </row>
    <row r="835" spans="1:15" ht="120" x14ac:dyDescent="0.2">
      <c r="A835" s="67" t="s">
        <v>302</v>
      </c>
      <c r="B835" s="61" t="s">
        <v>152</v>
      </c>
      <c r="C835" s="61" t="s">
        <v>149</v>
      </c>
      <c r="D835" s="62" t="s">
        <v>303</v>
      </c>
      <c r="E835" s="71" t="s">
        <v>153</v>
      </c>
      <c r="F835" s="72">
        <v>1542</v>
      </c>
      <c r="G835" s="73" t="s">
        <v>173</v>
      </c>
      <c r="H835" s="74">
        <f>[1]!'@CTA[8-2-1-1-5-1542,F,1,#6]'</f>
        <v>275753</v>
      </c>
      <c r="I835" s="74">
        <f>[1]!'@CTA[8-2-3-1-5-1542,F,1,#6]'</f>
        <v>0</v>
      </c>
      <c r="J835" s="75">
        <f>[1]!'@CTA[8-2-1-1-5-1542,F,1,#6]'+[1]!'@CTA[8-2-3-1-5-1542,F,1,#6]'</f>
        <v>275753</v>
      </c>
      <c r="K835" s="76">
        <f>[1]!'@CTA[8-2-4-1-5-1542,J,1,#6]'</f>
        <v>67236.41</v>
      </c>
      <c r="L835" s="76">
        <f>[1]!'@CTA[8-2-5-1-5-1542,J,1,#6]'</f>
        <v>67236.41</v>
      </c>
      <c r="M835" s="76">
        <f>[1]!'@CTA[8-2-6-1-5-1542,J,1,#6]'</f>
        <v>67236.41</v>
      </c>
      <c r="N835" s="74">
        <f>[1]!'@CTA[8-2-7-1-5-1542,F,1,#6]'</f>
        <v>48353.430000000029</v>
      </c>
      <c r="O835" s="66">
        <f t="shared" si="54"/>
        <v>208516.59</v>
      </c>
    </row>
    <row r="836" spans="1:15" ht="120" x14ac:dyDescent="0.2">
      <c r="A836" s="67" t="s">
        <v>302</v>
      </c>
      <c r="B836" s="61" t="s">
        <v>152</v>
      </c>
      <c r="C836" s="61" t="s">
        <v>149</v>
      </c>
      <c r="D836" s="62" t="s">
        <v>303</v>
      </c>
      <c r="E836" s="71" t="s">
        <v>153</v>
      </c>
      <c r="F836" s="72">
        <v>1543</v>
      </c>
      <c r="G836" s="73" t="s">
        <v>174</v>
      </c>
      <c r="H836" s="74">
        <f>[1]!'@CTA[8-2-1-1-5-1543,F,1,#6]'</f>
        <v>0</v>
      </c>
      <c r="I836" s="74">
        <f>[1]!'@CTA[8-2-3-1-5-1543,F,1,#6]'</f>
        <v>0</v>
      </c>
      <c r="J836" s="75">
        <f>[1]!'@CTA[8-2-1-1-5-1543,F,1,#6]'+[1]!'@CTA[8-2-3-1-5-1543,F,1,#6]'</f>
        <v>0</v>
      </c>
      <c r="K836" s="76">
        <f>[1]!'@CTA[8-2-4-1-5-1543,J,1,#6]'</f>
        <v>0</v>
      </c>
      <c r="L836" s="76">
        <f>[1]!'@CTA[8-2-5-1-5-1543,J,1,#6]'</f>
        <v>0</v>
      </c>
      <c r="M836" s="76">
        <f>[1]!'@CTA[8-2-6-1-5-1543,J,1,#6]'</f>
        <v>0</v>
      </c>
      <c r="N836" s="74">
        <f>[1]!'@CTA[8-2-7-1-5-1543,F,1,#6]'</f>
        <v>1.8189894035458565E-12</v>
      </c>
      <c r="O836" s="66">
        <f t="shared" si="54"/>
        <v>0</v>
      </c>
    </row>
    <row r="837" spans="1:15" ht="120" x14ac:dyDescent="0.2">
      <c r="A837" s="67" t="s">
        <v>302</v>
      </c>
      <c r="B837" s="61" t="s">
        <v>152</v>
      </c>
      <c r="C837" s="61" t="s">
        <v>149</v>
      </c>
      <c r="D837" s="62" t="s">
        <v>303</v>
      </c>
      <c r="E837" s="71" t="s">
        <v>153</v>
      </c>
      <c r="F837" s="72">
        <v>1544</v>
      </c>
      <c r="G837" s="73" t="s">
        <v>175</v>
      </c>
      <c r="H837" s="74">
        <f>[1]!'@CTA[8-2-1-1-5-1544,F,1,#6]'</f>
        <v>54000</v>
      </c>
      <c r="I837" s="74">
        <f>[1]!'@CTA[8-2-3-1-5-1544,F,1,#6]'</f>
        <v>0</v>
      </c>
      <c r="J837" s="75">
        <f>[1]!'@CTA[8-2-1-1-5-1544,F,1,#6]'+[1]!'@CTA[8-2-3-1-5-1544,F,1,#6]'</f>
        <v>54000</v>
      </c>
      <c r="K837" s="76">
        <f>[1]!'@CTA[8-2-4-1-5-1544,J,1,#6]'</f>
        <v>9100</v>
      </c>
      <c r="L837" s="76">
        <f>[1]!'@CTA[8-2-5-1-5-1544,J,1,#6]'</f>
        <v>9100</v>
      </c>
      <c r="M837" s="76">
        <f>[1]!'@CTA[8-2-6-1-5-1544,J,1,#6]'</f>
        <v>9100</v>
      </c>
      <c r="N837" s="74">
        <f>[1]!'@CTA[8-2-7-1-5-1544,F,1,#6]'</f>
        <v>9100</v>
      </c>
      <c r="O837" s="66">
        <f t="shared" si="54"/>
        <v>44900</v>
      </c>
    </row>
    <row r="838" spans="1:15" ht="120" x14ac:dyDescent="0.2">
      <c r="A838" s="67" t="s">
        <v>302</v>
      </c>
      <c r="B838" s="61"/>
      <c r="C838" s="61" t="s">
        <v>149</v>
      </c>
      <c r="D838" s="62" t="s">
        <v>303</v>
      </c>
      <c r="E838" s="61"/>
      <c r="F838" s="63">
        <v>2000</v>
      </c>
      <c r="G838" s="77" t="s">
        <v>176</v>
      </c>
      <c r="H838" s="69">
        <f t="shared" ref="H838:N838" si="59">SUBTOTAL(9,H839:H863)</f>
        <v>3424026</v>
      </c>
      <c r="I838" s="69">
        <f t="shared" si="59"/>
        <v>-1.375610736431554E-11</v>
      </c>
      <c r="J838" s="69">
        <f t="shared" si="59"/>
        <v>3424026</v>
      </c>
      <c r="K838" s="70">
        <f t="shared" si="59"/>
        <v>770502.13000000012</v>
      </c>
      <c r="L838" s="70">
        <f t="shared" si="59"/>
        <v>770502.13000000012</v>
      </c>
      <c r="M838" s="70">
        <f t="shared" si="59"/>
        <v>770502.13000000012</v>
      </c>
      <c r="N838" s="69">
        <f t="shared" si="59"/>
        <v>919594.76999999967</v>
      </c>
      <c r="O838" s="66">
        <f t="shared" si="54"/>
        <v>2653523.87</v>
      </c>
    </row>
    <row r="839" spans="1:15" ht="120" x14ac:dyDescent="0.2">
      <c r="A839" s="67" t="s">
        <v>302</v>
      </c>
      <c r="B839" s="61" t="s">
        <v>152</v>
      </c>
      <c r="C839" s="61" t="s">
        <v>149</v>
      </c>
      <c r="D839" s="62" t="s">
        <v>303</v>
      </c>
      <c r="E839" s="71" t="s">
        <v>177</v>
      </c>
      <c r="F839" s="72">
        <v>2111</v>
      </c>
      <c r="G839" s="73" t="s">
        <v>178</v>
      </c>
      <c r="H839" s="74">
        <f>[1]!'@CTA[8-2-1-2-1-2111,F,1,#6]'</f>
        <v>5640</v>
      </c>
      <c r="I839" s="74">
        <f>[1]!'@CTA[8-2-3-2-1-2111,F,1,#6]'</f>
        <v>0</v>
      </c>
      <c r="J839" s="75">
        <f>[1]!'@CTA[8-2-1-2-1-2111,F,1,#6]'+[1]!'@CTA[8-2-3-2-1-2111,F,1,#6]'</f>
        <v>5640</v>
      </c>
      <c r="K839" s="76">
        <f>[1]!'@CTA[8-2-4-2-1-2111,J,1,#6]'</f>
        <v>1056.6400000000001</v>
      </c>
      <c r="L839" s="76">
        <f>[1]!'@CTA[8-2-5-2-1-2111,J,1,#6]'</f>
        <v>1056.6400000000001</v>
      </c>
      <c r="M839" s="76">
        <f>[1]!'@CTA[8-2-6-2-1-2111,J,1,#6]'</f>
        <v>1056.6400000000001</v>
      </c>
      <c r="N839" s="74">
        <f>[1]!'@CTA[8-2-7-2-1-2111,F,1,#6]'</f>
        <v>1056.640000000001</v>
      </c>
      <c r="O839" s="66">
        <f t="shared" si="54"/>
        <v>4583.3599999999997</v>
      </c>
    </row>
    <row r="840" spans="1:15" ht="120" x14ac:dyDescent="0.2">
      <c r="A840" s="67" t="s">
        <v>302</v>
      </c>
      <c r="B840" s="61" t="s">
        <v>152</v>
      </c>
      <c r="C840" s="61" t="s">
        <v>149</v>
      </c>
      <c r="D840" s="62" t="s">
        <v>303</v>
      </c>
      <c r="E840" s="71" t="s">
        <v>177</v>
      </c>
      <c r="F840" s="72">
        <v>2121</v>
      </c>
      <c r="G840" s="73" t="s">
        <v>179</v>
      </c>
      <c r="H840" s="74">
        <f>[1]!'@CTA[8-2-1-2-1-2121,F,1,#6]'</f>
        <v>1589</v>
      </c>
      <c r="I840" s="74">
        <f>[1]!'@CTA[8-2-3-2-1-2121,F,1,#6]'</f>
        <v>0</v>
      </c>
      <c r="J840" s="75">
        <f>[1]!'@CTA[8-2-1-2-1-2121,F,1,#6]'+[1]!'@CTA[8-2-3-2-1-2121,F,1,#6]'</f>
        <v>1589</v>
      </c>
      <c r="K840" s="76">
        <f>[1]!'@CTA[8-2-4-2-1-2121,J,1,#6]'</f>
        <v>123.41999999999999</v>
      </c>
      <c r="L840" s="76">
        <f>[1]!'@CTA[8-2-5-2-1-2121,J,1,#6]'</f>
        <v>123.41999999999999</v>
      </c>
      <c r="M840" s="76">
        <f>[1]!'@CTA[8-2-6-2-1-2121,J,1,#6]'</f>
        <v>123.41999999999999</v>
      </c>
      <c r="N840" s="74">
        <f>[1]!'@CTA[8-2-7-2-1-2121,F,1,#6]'</f>
        <v>123.42000000000033</v>
      </c>
      <c r="O840" s="66">
        <f t="shared" si="54"/>
        <v>1465.58</v>
      </c>
    </row>
    <row r="841" spans="1:15" ht="120" x14ac:dyDescent="0.2">
      <c r="A841" s="67" t="s">
        <v>302</v>
      </c>
      <c r="B841" s="61" t="s">
        <v>152</v>
      </c>
      <c r="C841" s="61" t="s">
        <v>149</v>
      </c>
      <c r="D841" s="62" t="s">
        <v>303</v>
      </c>
      <c r="E841" s="71" t="s">
        <v>177</v>
      </c>
      <c r="F841" s="72">
        <v>2131</v>
      </c>
      <c r="G841" s="73" t="s">
        <v>180</v>
      </c>
      <c r="H841" s="74">
        <f>[1]!'@CTA[8-2-1-2-1-2131,F,1,#6]'</f>
        <v>0</v>
      </c>
      <c r="I841" s="74">
        <f>[1]!'@CTA[8-2-3-2-1-2131,F,1,#6]'</f>
        <v>0</v>
      </c>
      <c r="J841" s="75">
        <f>[1]!'@CTA[8-2-1-2-1-2131,F,1,#6]'+[1]!'@CTA[8-2-3-2-1-2131,F,1,#6]'</f>
        <v>0</v>
      </c>
      <c r="K841" s="76">
        <f>[1]!'@CTA[8-2-4-2-1-2131,J,1,#6]'</f>
        <v>0</v>
      </c>
      <c r="L841" s="76">
        <f>[1]!'@CTA[8-2-5-2-1-2131,J,1,#6]'</f>
        <v>0</v>
      </c>
      <c r="M841" s="76">
        <f>[1]!'@CTA[8-2-6-2-1-2131,J,1,#6]'</f>
        <v>0</v>
      </c>
      <c r="N841" s="74">
        <f>[1]!'@CTA[8-2-7-2-1-2131,F,1,#6]'</f>
        <v>0</v>
      </c>
      <c r="O841" s="66">
        <f t="shared" ref="O841:O904" si="60">J841-L841</f>
        <v>0</v>
      </c>
    </row>
    <row r="842" spans="1:15" ht="120" x14ac:dyDescent="0.2">
      <c r="A842" s="67" t="s">
        <v>302</v>
      </c>
      <c r="B842" s="61" t="s">
        <v>152</v>
      </c>
      <c r="C842" s="61" t="s">
        <v>149</v>
      </c>
      <c r="D842" s="62" t="s">
        <v>303</v>
      </c>
      <c r="E842" s="71" t="s">
        <v>177</v>
      </c>
      <c r="F842" s="72">
        <v>2141</v>
      </c>
      <c r="G842" s="73" t="s">
        <v>181</v>
      </c>
      <c r="H842" s="74">
        <f>[1]!'@CTA[8-2-1-2-1-2141,F,1,#6]'</f>
        <v>350</v>
      </c>
      <c r="I842" s="74">
        <f>[1]!'@CTA[8-2-3-2-1-2141,F,1,#6]'</f>
        <v>0</v>
      </c>
      <c r="J842" s="75">
        <f>[1]!'@CTA[8-2-1-2-1-2141,F,1,#6]'+[1]!'@CTA[8-2-3-2-1-2141,F,1,#6]'</f>
        <v>350</v>
      </c>
      <c r="K842" s="76">
        <f>[1]!'@CTA[8-2-4-2-1-2141,J,1,#6]'</f>
        <v>0</v>
      </c>
      <c r="L842" s="76">
        <f>[1]!'@CTA[8-2-5-2-1-2141,J,1,#6]'</f>
        <v>0</v>
      </c>
      <c r="M842" s="76">
        <f>[1]!'@CTA[8-2-6-2-1-2141,J,1,#6]'</f>
        <v>0</v>
      </c>
      <c r="N842" s="74">
        <f>[1]!'@CTA[8-2-7-2-1-2141,F,1,#6]'</f>
        <v>0</v>
      </c>
      <c r="O842" s="66">
        <f t="shared" si="60"/>
        <v>350</v>
      </c>
    </row>
    <row r="843" spans="1:15" ht="120" x14ac:dyDescent="0.2">
      <c r="A843" s="67" t="s">
        <v>302</v>
      </c>
      <c r="B843" s="61" t="s">
        <v>152</v>
      </c>
      <c r="C843" s="61" t="s">
        <v>149</v>
      </c>
      <c r="D843" s="62" t="s">
        <v>303</v>
      </c>
      <c r="E843" s="71" t="s">
        <v>177</v>
      </c>
      <c r="F843" s="72">
        <v>2151</v>
      </c>
      <c r="G843" s="73" t="s">
        <v>182</v>
      </c>
      <c r="H843" s="74">
        <f>[1]!'@CTA[8-2-1-2-1-2151,F,1,#6]'</f>
        <v>17500</v>
      </c>
      <c r="I843" s="74">
        <f>[1]!'@CTA[8-2-3-2-1-2151,F,1,#6]'</f>
        <v>0</v>
      </c>
      <c r="J843" s="75">
        <f>[1]!'@CTA[8-2-1-2-1-2151,F,1,#6]'+[1]!'@CTA[8-2-3-2-1-2151,F,1,#6]'</f>
        <v>17500</v>
      </c>
      <c r="K843" s="76">
        <f>[1]!'@CTA[8-2-4-2-1-2151,J,1,#6]'</f>
        <v>0</v>
      </c>
      <c r="L843" s="76">
        <f>[1]!'@CTA[8-2-5-2-1-2151,J,1,#6]'</f>
        <v>0</v>
      </c>
      <c r="M843" s="76">
        <f>[1]!'@CTA[8-2-6-2-1-2151,J,1,#6]'</f>
        <v>0</v>
      </c>
      <c r="N843" s="74">
        <f>[1]!'@CTA[8-2-7-2-1-2151,F,1,#6]'</f>
        <v>0</v>
      </c>
      <c r="O843" s="66">
        <f t="shared" si="60"/>
        <v>17500</v>
      </c>
    </row>
    <row r="844" spans="1:15" ht="120" x14ac:dyDescent="0.2">
      <c r="A844" s="67" t="s">
        <v>302</v>
      </c>
      <c r="B844" s="61" t="s">
        <v>152</v>
      </c>
      <c r="C844" s="61" t="s">
        <v>149</v>
      </c>
      <c r="D844" s="62" t="s">
        <v>303</v>
      </c>
      <c r="E844" s="71" t="s">
        <v>177</v>
      </c>
      <c r="F844" s="72">
        <v>2161</v>
      </c>
      <c r="G844" s="73" t="s">
        <v>183</v>
      </c>
      <c r="H844" s="74">
        <f>[1]!'@CTA[8-2-1-2-1-2161,F,1,#6]'</f>
        <v>2893</v>
      </c>
      <c r="I844" s="74">
        <f>[1]!'@CTA[8-2-3-2-1-2161,F,1,#6]'</f>
        <v>0</v>
      </c>
      <c r="J844" s="75">
        <f>[1]!'@CTA[8-2-1-2-1-2161,F,1,#6]'+[1]!'@CTA[8-2-3-2-1-2161,F,1,#6]'</f>
        <v>2893</v>
      </c>
      <c r="K844" s="76">
        <f>[1]!'@CTA[8-2-4-2-1-2161,J,1,#6]'</f>
        <v>362.42000000000007</v>
      </c>
      <c r="L844" s="76">
        <f>[1]!'@CTA[8-2-5-2-1-2161,J,1,#6]'</f>
        <v>362.42000000000007</v>
      </c>
      <c r="M844" s="76">
        <f>[1]!'@CTA[8-2-6-2-1-2161,J,1,#6]'</f>
        <v>362.42000000000007</v>
      </c>
      <c r="N844" s="74">
        <f>[1]!'@CTA[8-2-7-2-1-2161,F,1,#6]'</f>
        <v>362.4200000000003</v>
      </c>
      <c r="O844" s="66">
        <f t="shared" si="60"/>
        <v>2530.58</v>
      </c>
    </row>
    <row r="845" spans="1:15" ht="120" x14ac:dyDescent="0.2">
      <c r="A845" s="67" t="s">
        <v>302</v>
      </c>
      <c r="B845" s="61" t="s">
        <v>152</v>
      </c>
      <c r="C845" s="61" t="s">
        <v>149</v>
      </c>
      <c r="D845" s="62" t="s">
        <v>303</v>
      </c>
      <c r="E845" s="71" t="s">
        <v>177</v>
      </c>
      <c r="F845" s="72">
        <v>2171</v>
      </c>
      <c r="G845" s="73" t="s">
        <v>184</v>
      </c>
      <c r="H845" s="74">
        <f>[1]!'@CTA[8-2-1-2-1-2171,F,1,#6]'</f>
        <v>0</v>
      </c>
      <c r="I845" s="74">
        <f>[1]!'@CTA[8-2-3-2-1-2171,F,1,#6]'</f>
        <v>0</v>
      </c>
      <c r="J845" s="75">
        <f>[1]!'@CTA[8-2-1-2-1-2171,F,1,#6]'+[1]!'@CTA[8-2-3-2-1-2171,F,1,#6]'</f>
        <v>0</v>
      </c>
      <c r="K845" s="76">
        <f>[1]!'@CTA[8-2-4-2-1-2171,J,1,#6]'</f>
        <v>0</v>
      </c>
      <c r="L845" s="76">
        <f>[1]!'@CTA[8-2-5-2-1-2171,J,1,#6]'</f>
        <v>0</v>
      </c>
      <c r="M845" s="76">
        <f>[1]!'@CTA[8-2-6-2-1-2171,J,1,#6]'</f>
        <v>0</v>
      </c>
      <c r="N845" s="74">
        <f>[1]!'@CTA[8-2-7-2-1-2171,F,1,#6]'</f>
        <v>0</v>
      </c>
      <c r="O845" s="66">
        <f t="shared" si="60"/>
        <v>0</v>
      </c>
    </row>
    <row r="846" spans="1:15" ht="120" x14ac:dyDescent="0.2">
      <c r="A846" s="67" t="s">
        <v>302</v>
      </c>
      <c r="B846" s="61" t="s">
        <v>152</v>
      </c>
      <c r="C846" s="61" t="s">
        <v>149</v>
      </c>
      <c r="D846" s="62" t="s">
        <v>303</v>
      </c>
      <c r="E846" s="71" t="s">
        <v>177</v>
      </c>
      <c r="F846" s="72">
        <v>2211</v>
      </c>
      <c r="G846" s="73" t="s">
        <v>185</v>
      </c>
      <c r="H846" s="74">
        <f>[1]!'@CTA[8-2-1-2-2-2211,F,1,#6]'</f>
        <v>22800</v>
      </c>
      <c r="I846" s="74">
        <f>[1]!'@CTA[8-2-3-2-2-2211,F,1,#6]'</f>
        <v>0</v>
      </c>
      <c r="J846" s="75">
        <f>[1]!'@CTA[8-2-1-2-2-2211,F,1,#6]'+[1]!'@CTA[8-2-3-2-2-2211,F,1,#6]'</f>
        <v>22800</v>
      </c>
      <c r="K846" s="76">
        <f>[1]!'@CTA[8-2-4-2-2-2211,J,1,#6]'</f>
        <v>3677</v>
      </c>
      <c r="L846" s="76">
        <f>[1]!'@CTA[8-2-5-2-2-2211,J,1,#6]'</f>
        <v>3677</v>
      </c>
      <c r="M846" s="76">
        <f>[1]!'@CTA[8-2-6-2-2-2211,J,1,#6]'</f>
        <v>3677</v>
      </c>
      <c r="N846" s="74">
        <f>[1]!'@CTA[8-2-7-2-2-2211,F,1,#6]'</f>
        <v>3677.0000000000055</v>
      </c>
      <c r="O846" s="66">
        <f t="shared" si="60"/>
        <v>19123</v>
      </c>
    </row>
    <row r="847" spans="1:15" ht="120" x14ac:dyDescent="0.2">
      <c r="A847" s="67" t="s">
        <v>302</v>
      </c>
      <c r="B847" s="61" t="s">
        <v>152</v>
      </c>
      <c r="C847" s="61" t="s">
        <v>149</v>
      </c>
      <c r="D847" s="62" t="s">
        <v>303</v>
      </c>
      <c r="E847" s="71" t="s">
        <v>177</v>
      </c>
      <c r="F847" s="72">
        <v>2231</v>
      </c>
      <c r="G847" s="73" t="s">
        <v>186</v>
      </c>
      <c r="H847" s="74">
        <f>[1]!'@CTA[8-2-1-2-2-2231,F,1,#6]'</f>
        <v>1008</v>
      </c>
      <c r="I847" s="74">
        <f>[1]!'@CTA[8-2-3-2-2-2231,F,1,#6]'</f>
        <v>-1.1368683772161603E-13</v>
      </c>
      <c r="J847" s="75">
        <f>[1]!'@CTA[8-2-1-2-2-2231,F,1,#6]'+[1]!'@CTA[8-2-3-2-2-2231,F,1,#6]'</f>
        <v>1007.9999999999999</v>
      </c>
      <c r="K847" s="76">
        <f>[1]!'@CTA[8-2-4-2-2-2231,J,1,#6]'</f>
        <v>386.19</v>
      </c>
      <c r="L847" s="76">
        <f>[1]!'@CTA[8-2-5-2-2-2231,J,1,#6]'</f>
        <v>386.19</v>
      </c>
      <c r="M847" s="76">
        <f>[1]!'@CTA[8-2-6-2-2-2231,J,1,#6]'</f>
        <v>386.19</v>
      </c>
      <c r="N847" s="74">
        <f>[1]!'@CTA[8-2-7-2-2-2231,F,1,#6]'</f>
        <v>326.96999999999986</v>
      </c>
      <c r="O847" s="66">
        <f t="shared" si="60"/>
        <v>621.80999999999995</v>
      </c>
    </row>
    <row r="848" spans="1:15" ht="120" x14ac:dyDescent="0.2">
      <c r="A848" s="67" t="s">
        <v>302</v>
      </c>
      <c r="B848" s="61" t="s">
        <v>152</v>
      </c>
      <c r="C848" s="61" t="s">
        <v>149</v>
      </c>
      <c r="D848" s="62" t="s">
        <v>303</v>
      </c>
      <c r="E848" s="71" t="s">
        <v>177</v>
      </c>
      <c r="F848" s="72">
        <v>2411</v>
      </c>
      <c r="G848" s="73" t="s">
        <v>187</v>
      </c>
      <c r="H848" s="74">
        <f>[1]!'@CTA[8-2-1-2-4-2411,F,1,#6]'</f>
        <v>3880</v>
      </c>
      <c r="I848" s="74">
        <f>[1]!'@CTA[8-2-3-2-4-2411,F,1,#6]'</f>
        <v>0</v>
      </c>
      <c r="J848" s="75">
        <f>[1]!'@CTA[8-2-1-2-4-2411,F,1,#6]'+[1]!'@CTA[8-2-3-2-4-2411,F,1,#6]'</f>
        <v>3880</v>
      </c>
      <c r="K848" s="76">
        <f>[1]!'@CTA[8-2-4-2-4-2411,J,1,#6]'</f>
        <v>600</v>
      </c>
      <c r="L848" s="76">
        <f>[1]!'@CTA[8-2-5-2-4-2411,J,1,#6]'</f>
        <v>600</v>
      </c>
      <c r="M848" s="76">
        <f>[1]!'@CTA[8-2-6-2-4-2411,J,1,#6]'</f>
        <v>600</v>
      </c>
      <c r="N848" s="74">
        <f>[1]!'@CTA[8-2-7-2-4-2411,F,1,#6]'</f>
        <v>0</v>
      </c>
      <c r="O848" s="66">
        <f t="shared" si="60"/>
        <v>3280</v>
      </c>
    </row>
    <row r="849" spans="1:15" ht="120" x14ac:dyDescent="0.2">
      <c r="A849" s="67" t="s">
        <v>302</v>
      </c>
      <c r="B849" s="61" t="s">
        <v>152</v>
      </c>
      <c r="C849" s="61" t="s">
        <v>149</v>
      </c>
      <c r="D849" s="62" t="s">
        <v>303</v>
      </c>
      <c r="E849" s="71" t="s">
        <v>177</v>
      </c>
      <c r="F849" s="72">
        <v>2461</v>
      </c>
      <c r="G849" s="73" t="s">
        <v>188</v>
      </c>
      <c r="H849" s="74">
        <f>[1]!'@CTA[8-2-1-2-4-2461,F,1,#6]'</f>
        <v>8500</v>
      </c>
      <c r="I849" s="74">
        <f>[1]!'@CTA[8-2-3-2-4-2461,F,1,#6]'</f>
        <v>0</v>
      </c>
      <c r="J849" s="75">
        <f>[1]!'@CTA[8-2-1-2-4-2461,F,1,#6]'+[1]!'@CTA[8-2-3-2-4-2461,F,1,#6]'</f>
        <v>8500</v>
      </c>
      <c r="K849" s="76">
        <f>[1]!'@CTA[8-2-4-2-4-2461,J,1,#6]'</f>
        <v>1630</v>
      </c>
      <c r="L849" s="76">
        <f>[1]!'@CTA[8-2-5-2-4-2461,J,1,#6]'</f>
        <v>1630</v>
      </c>
      <c r="M849" s="76">
        <f>[1]!'@CTA[8-2-6-2-4-2461,J,1,#6]'</f>
        <v>1630</v>
      </c>
      <c r="N849" s="74">
        <f>[1]!'@CTA[8-2-7-2-4-2461,F,1,#6]'</f>
        <v>1630</v>
      </c>
      <c r="O849" s="66">
        <f t="shared" si="60"/>
        <v>6870</v>
      </c>
    </row>
    <row r="850" spans="1:15" ht="120" x14ac:dyDescent="0.2">
      <c r="A850" s="67" t="s">
        <v>302</v>
      </c>
      <c r="B850" s="61" t="s">
        <v>152</v>
      </c>
      <c r="C850" s="61" t="s">
        <v>149</v>
      </c>
      <c r="D850" s="62" t="s">
        <v>303</v>
      </c>
      <c r="E850" s="71" t="s">
        <v>177</v>
      </c>
      <c r="F850" s="72">
        <v>2471</v>
      </c>
      <c r="G850" s="73" t="s">
        <v>189</v>
      </c>
      <c r="H850" s="74">
        <f>[1]!'@CTA[8-2-1-2-4-2471,F,1,#6]'</f>
        <v>24000</v>
      </c>
      <c r="I850" s="74">
        <f>[1]!'@CTA[8-2-3-2-4-2471,F,1,#6]'</f>
        <v>-1.3642420526593924E-11</v>
      </c>
      <c r="J850" s="75">
        <f>[1]!'@CTA[8-2-1-2-4-2471,F,1,#6]'+[1]!'@CTA[8-2-3-2-4-2471,F,1,#6]'</f>
        <v>23999.999999999985</v>
      </c>
      <c r="K850" s="76">
        <f>[1]!'@CTA[8-2-4-2-4-2471,J,1,#6]'</f>
        <v>759.12</v>
      </c>
      <c r="L850" s="76">
        <f>[1]!'@CTA[8-2-5-2-4-2471,J,1,#6]'</f>
        <v>759.12</v>
      </c>
      <c r="M850" s="76">
        <f>[1]!'@CTA[8-2-6-2-4-2471,J,1,#6]'</f>
        <v>759.12</v>
      </c>
      <c r="N850" s="74">
        <f>[1]!'@CTA[8-2-7-2-4-2471,F,1,#6]'</f>
        <v>759.11999999998454</v>
      </c>
      <c r="O850" s="66">
        <f t="shared" si="60"/>
        <v>23240.879999999986</v>
      </c>
    </row>
    <row r="851" spans="1:15" ht="120" x14ac:dyDescent="0.2">
      <c r="A851" s="67" t="s">
        <v>302</v>
      </c>
      <c r="B851" s="61" t="s">
        <v>152</v>
      </c>
      <c r="C851" s="61" t="s">
        <v>149</v>
      </c>
      <c r="D851" s="62" t="s">
        <v>303</v>
      </c>
      <c r="E851" s="71" t="s">
        <v>177</v>
      </c>
      <c r="F851" s="72">
        <v>2481</v>
      </c>
      <c r="G851" s="73" t="s">
        <v>190</v>
      </c>
      <c r="H851" s="74">
        <f>[1]!'@CTA[8-2-1-2-4-2481,F,1,#6]'</f>
        <v>0</v>
      </c>
      <c r="I851" s="74">
        <f>[1]!'@CTA[8-2-3-2-4-2481,F,1,#6]'</f>
        <v>0</v>
      </c>
      <c r="J851" s="75">
        <f>[1]!'@CTA[8-2-1-2-4-2481,F,1,#6]'+[1]!'@CTA[8-2-3-2-4-2481,F,1,#6]'</f>
        <v>0</v>
      </c>
      <c r="K851" s="76">
        <f>[1]!'@CTA[8-2-4-2-4-2481,J,1,#6]'</f>
        <v>0</v>
      </c>
      <c r="L851" s="76">
        <f>[1]!'@CTA[8-2-5-2-4-2481,J,1,#6]'</f>
        <v>0</v>
      </c>
      <c r="M851" s="76">
        <f>[1]!'@CTA[8-2-6-2-4-2481,J,1,#6]'</f>
        <v>0</v>
      </c>
      <c r="N851" s="74">
        <f>[1]!'@CTA[8-2-7-2-4-2481,F,1,#6]'</f>
        <v>0</v>
      </c>
      <c r="O851" s="66">
        <f t="shared" si="60"/>
        <v>0</v>
      </c>
    </row>
    <row r="852" spans="1:15" ht="120" x14ac:dyDescent="0.2">
      <c r="A852" s="67" t="s">
        <v>302</v>
      </c>
      <c r="B852" s="61" t="s">
        <v>152</v>
      </c>
      <c r="C852" s="61" t="s">
        <v>149</v>
      </c>
      <c r="D852" s="62" t="s">
        <v>303</v>
      </c>
      <c r="E852" s="71" t="s">
        <v>177</v>
      </c>
      <c r="F852" s="72">
        <v>2491</v>
      </c>
      <c r="G852" s="73" t="s">
        <v>191</v>
      </c>
      <c r="H852" s="74">
        <f>[1]!'@CTA[8-2-1-2-4-2491,F,1,#6]'</f>
        <v>924824</v>
      </c>
      <c r="I852" s="74">
        <f>[1]!'@CTA[8-2-3-2-4-2491,F,1,#6]'</f>
        <v>0</v>
      </c>
      <c r="J852" s="75">
        <f>[1]!'@CTA[8-2-1-2-4-2491,F,1,#6]'+[1]!'@CTA[8-2-3-2-4-2491,F,1,#6]'</f>
        <v>924824</v>
      </c>
      <c r="K852" s="76">
        <f>[1]!'@CTA[8-2-4-2-4-2491,J,1,#6]'</f>
        <v>203122.40000000002</v>
      </c>
      <c r="L852" s="76">
        <f>[1]!'@CTA[8-2-5-2-4-2491,J,1,#6]'</f>
        <v>203122.40000000002</v>
      </c>
      <c r="M852" s="76">
        <f>[1]!'@CTA[8-2-6-2-4-2491,J,1,#6]'</f>
        <v>203122.40000000002</v>
      </c>
      <c r="N852" s="74">
        <f>[1]!'@CTA[8-2-7-2-4-2491,F,1,#6]'</f>
        <v>199582.40000000014</v>
      </c>
      <c r="O852" s="66">
        <f t="shared" si="60"/>
        <v>721701.6</v>
      </c>
    </row>
    <row r="853" spans="1:15" ht="120" x14ac:dyDescent="0.2">
      <c r="A853" s="67" t="s">
        <v>302</v>
      </c>
      <c r="B853" s="61" t="s">
        <v>152</v>
      </c>
      <c r="C853" s="61" t="s">
        <v>149</v>
      </c>
      <c r="D853" s="62" t="s">
        <v>303</v>
      </c>
      <c r="E853" s="71" t="s">
        <v>177</v>
      </c>
      <c r="F853" s="72">
        <v>2492</v>
      </c>
      <c r="G853" s="73" t="s">
        <v>192</v>
      </c>
      <c r="H853" s="74">
        <f>[1]!'@CTA[8-2-1-2-4-2492,F,1,#6]'</f>
        <v>1016707</v>
      </c>
      <c r="I853" s="74">
        <f>[1]!'@CTA[8-2-3-2-4-2492,F,1,#6]'</f>
        <v>0</v>
      </c>
      <c r="J853" s="75">
        <f>[1]!'@CTA[8-2-1-2-4-2492,F,1,#6]'+[1]!'@CTA[8-2-3-2-4-2492,F,1,#6]'</f>
        <v>1016707</v>
      </c>
      <c r="K853" s="76">
        <f>[1]!'@CTA[8-2-4-2-4-2492,J,1,#6]'</f>
        <v>209077.21000000002</v>
      </c>
      <c r="L853" s="76">
        <f>[1]!'@CTA[8-2-5-2-4-2492,J,1,#6]'</f>
        <v>209077.21000000002</v>
      </c>
      <c r="M853" s="76">
        <f>[1]!'@CTA[8-2-6-2-4-2492,J,1,#6]'</f>
        <v>209077.21000000002</v>
      </c>
      <c r="N853" s="74">
        <f>[1]!'@CTA[8-2-7-2-4-2492,F,1,#6]'</f>
        <v>382321.76999999979</v>
      </c>
      <c r="O853" s="66">
        <f t="shared" si="60"/>
        <v>807629.79</v>
      </c>
    </row>
    <row r="854" spans="1:15" ht="120" x14ac:dyDescent="0.2">
      <c r="A854" s="67" t="s">
        <v>302</v>
      </c>
      <c r="B854" s="61" t="s">
        <v>152</v>
      </c>
      <c r="C854" s="61" t="s">
        <v>149</v>
      </c>
      <c r="D854" s="62" t="s">
        <v>303</v>
      </c>
      <c r="E854" s="71" t="s">
        <v>177</v>
      </c>
      <c r="F854" s="72">
        <v>2531</v>
      </c>
      <c r="G854" s="73" t="s">
        <v>193</v>
      </c>
      <c r="H854" s="74">
        <f>[1]!'@CTA[8-2-1-2-5-2531,F,1,#6]'</f>
        <v>0</v>
      </c>
      <c r="I854" s="74">
        <f>[1]!'@CTA[8-2-3-2-5-2531,F,1,#6]'</f>
        <v>0</v>
      </c>
      <c r="J854" s="75">
        <f>[1]!'@CTA[8-2-1-2-5-2531,F,1,#6]'+[1]!'@CTA[8-2-3-2-5-2531,F,1,#6]'</f>
        <v>0</v>
      </c>
      <c r="K854" s="76">
        <f>[1]!'@CTA[8-2-4-2-5-2531,J,1,#6]'</f>
        <v>0</v>
      </c>
      <c r="L854" s="76">
        <f>[1]!'@CTA[8-2-5-2-5-2531,J,1,#6]'</f>
        <v>0</v>
      </c>
      <c r="M854" s="76">
        <f>[1]!'@CTA[8-2-6-2-5-2531,J,1,#6]'</f>
        <v>0</v>
      </c>
      <c r="N854" s="74">
        <f>[1]!'@CTA[8-2-7-2-5-2531,F,1,#6]'</f>
        <v>0</v>
      </c>
      <c r="O854" s="66">
        <f t="shared" si="60"/>
        <v>0</v>
      </c>
    </row>
    <row r="855" spans="1:15" ht="120" x14ac:dyDescent="0.2">
      <c r="A855" s="67" t="s">
        <v>302</v>
      </c>
      <c r="B855" s="61" t="s">
        <v>152</v>
      </c>
      <c r="C855" s="61" t="s">
        <v>149</v>
      </c>
      <c r="D855" s="62" t="s">
        <v>303</v>
      </c>
      <c r="E855" s="71" t="s">
        <v>177</v>
      </c>
      <c r="F855" s="72">
        <v>2551</v>
      </c>
      <c r="G855" s="73" t="s">
        <v>194</v>
      </c>
      <c r="H855" s="74">
        <f>[1]!'@CTA[8-2-1-2-5-2551,F,1,#6]'</f>
        <v>0</v>
      </c>
      <c r="I855" s="74">
        <f>[1]!'@CTA[8-2-3-2-5-2551,F,1,#6]'</f>
        <v>0</v>
      </c>
      <c r="J855" s="75">
        <f>[1]!'@CTA[8-2-1-2-5-2551,F,1,#6]'+[1]!'@CTA[8-2-3-2-5-2551,F,1,#6]'</f>
        <v>0</v>
      </c>
      <c r="K855" s="76">
        <f>[1]!'@CTA[8-2-4-2-5-2551,J,1,#6]'</f>
        <v>0</v>
      </c>
      <c r="L855" s="76">
        <f>[1]!'@CTA[8-2-5-2-5-2551,J,1,#6]'</f>
        <v>0</v>
      </c>
      <c r="M855" s="76">
        <f>[1]!'@CTA[8-2-6-2-5-2551,J,1,#6]'</f>
        <v>0</v>
      </c>
      <c r="N855" s="74">
        <f>[1]!'@CTA[8-2-7-2-5-2551,F,1,#6]'</f>
        <v>0</v>
      </c>
      <c r="O855" s="66">
        <f t="shared" si="60"/>
        <v>0</v>
      </c>
    </row>
    <row r="856" spans="1:15" ht="120" x14ac:dyDescent="0.2">
      <c r="A856" s="67" t="s">
        <v>302</v>
      </c>
      <c r="B856" s="61" t="s">
        <v>152</v>
      </c>
      <c r="C856" s="61" t="s">
        <v>149</v>
      </c>
      <c r="D856" s="62" t="s">
        <v>303</v>
      </c>
      <c r="E856" s="71" t="s">
        <v>177</v>
      </c>
      <c r="F856" s="72">
        <v>2591</v>
      </c>
      <c r="G856" s="73" t="s">
        <v>195</v>
      </c>
      <c r="H856" s="74">
        <f>[1]!'@CTA[8-2-1-2-5-2591,F,1,#6]'</f>
        <v>481020</v>
      </c>
      <c r="I856" s="74">
        <f>[1]!'@CTA[8-2-3-2-5-2591,F,1,#6]'</f>
        <v>0</v>
      </c>
      <c r="J856" s="75">
        <f>[1]!'@CTA[8-2-1-2-5-2591,F,1,#6]'+[1]!'@CTA[8-2-3-2-5-2591,F,1,#6]'</f>
        <v>481020</v>
      </c>
      <c r="K856" s="76">
        <f>[1]!'@CTA[8-2-4-2-5-2591,J,1,#6]'</f>
        <v>125048.93</v>
      </c>
      <c r="L856" s="76">
        <f>[1]!'@CTA[8-2-5-2-5-2591,J,1,#6]'</f>
        <v>125048.93</v>
      </c>
      <c r="M856" s="76">
        <f>[1]!'@CTA[8-2-6-2-5-2591,J,1,#6]'</f>
        <v>125048.93</v>
      </c>
      <c r="N856" s="74">
        <f>[1]!'@CTA[8-2-7-2-5-2591,F,1,#6]'</f>
        <v>125021.99999999994</v>
      </c>
      <c r="O856" s="66">
        <f t="shared" si="60"/>
        <v>355971.07</v>
      </c>
    </row>
    <row r="857" spans="1:15" ht="120" x14ac:dyDescent="0.2">
      <c r="A857" s="67" t="s">
        <v>302</v>
      </c>
      <c r="B857" s="61" t="s">
        <v>152</v>
      </c>
      <c r="C857" s="61" t="s">
        <v>149</v>
      </c>
      <c r="D857" s="62" t="s">
        <v>303</v>
      </c>
      <c r="E857" s="71" t="s">
        <v>177</v>
      </c>
      <c r="F857" s="72">
        <v>2611</v>
      </c>
      <c r="G857" s="73" t="s">
        <v>196</v>
      </c>
      <c r="H857" s="74">
        <f>[1]!'@CTA[8-2-1-2-6-2611,F,1,#6]'</f>
        <v>0</v>
      </c>
      <c r="I857" s="74">
        <f>[1]!'@CTA[8-2-3-2-6-2611,F,1,#6]'</f>
        <v>0</v>
      </c>
      <c r="J857" s="75">
        <f>[1]!'@CTA[8-2-1-2-6-2611,F,1,#6]'+[1]!'@CTA[8-2-3-2-6-2611,F,1,#6]'</f>
        <v>0</v>
      </c>
      <c r="K857" s="76">
        <f>[1]!'@CTA[8-2-4-2-6-2611,J,1,#6]'</f>
        <v>0</v>
      </c>
      <c r="L857" s="76">
        <f>[1]!'@CTA[8-2-5-2-6-2611,J,1,#6]'</f>
        <v>0</v>
      </c>
      <c r="M857" s="76">
        <f>[1]!'@CTA[8-2-6-2-6-2611,J,1,#6]'</f>
        <v>0</v>
      </c>
      <c r="N857" s="74">
        <f>[1]!'@CTA[8-2-7-2-6-2611,F,1,#6]'</f>
        <v>0</v>
      </c>
      <c r="O857" s="66">
        <f t="shared" si="60"/>
        <v>0</v>
      </c>
    </row>
    <row r="858" spans="1:15" ht="120" x14ac:dyDescent="0.2">
      <c r="A858" s="67" t="s">
        <v>302</v>
      </c>
      <c r="B858" s="61" t="s">
        <v>152</v>
      </c>
      <c r="C858" s="61" t="s">
        <v>149</v>
      </c>
      <c r="D858" s="62" t="s">
        <v>303</v>
      </c>
      <c r="E858" s="71" t="s">
        <v>177</v>
      </c>
      <c r="F858" s="72">
        <v>2612</v>
      </c>
      <c r="G858" s="73" t="s">
        <v>197</v>
      </c>
      <c r="H858" s="74">
        <f>[1]!'@CTA[8-2-1-2-6-2612,F,1,#6]'</f>
        <v>618753</v>
      </c>
      <c r="I858" s="74">
        <f>[1]!'@CTA[8-2-3-2-6-2612,F,1,#6]'</f>
        <v>0</v>
      </c>
      <c r="J858" s="75">
        <f>[1]!'@CTA[8-2-1-2-6-2612,F,1,#6]'+[1]!'@CTA[8-2-3-2-6-2612,F,1,#6]'</f>
        <v>618753</v>
      </c>
      <c r="K858" s="76">
        <f>[1]!'@CTA[8-2-4-2-6-2612,J,1,#6]'</f>
        <v>152122.88</v>
      </c>
      <c r="L858" s="76">
        <f>[1]!'@CTA[8-2-5-2-6-2612,J,1,#6]'</f>
        <v>152122.88</v>
      </c>
      <c r="M858" s="76">
        <f>[1]!'@CTA[8-2-6-2-6-2612,J,1,#6]'</f>
        <v>152122.88</v>
      </c>
      <c r="N858" s="74">
        <f>[1]!'@CTA[8-2-7-2-6-2612,F,1,#6]'</f>
        <v>133295.10999999984</v>
      </c>
      <c r="O858" s="66">
        <f t="shared" si="60"/>
        <v>466630.12</v>
      </c>
    </row>
    <row r="859" spans="1:15" ht="120" x14ac:dyDescent="0.2">
      <c r="A859" s="67" t="s">
        <v>302</v>
      </c>
      <c r="B859" s="61" t="s">
        <v>152</v>
      </c>
      <c r="C859" s="61" t="s">
        <v>149</v>
      </c>
      <c r="D859" s="62" t="s">
        <v>303</v>
      </c>
      <c r="E859" s="71" t="s">
        <v>177</v>
      </c>
      <c r="F859" s="72">
        <v>2711</v>
      </c>
      <c r="G859" s="73" t="s">
        <v>198</v>
      </c>
      <c r="H859" s="74">
        <f>[1]!'@CTA[8-2-1-2-7-2711,F,1,#6]'</f>
        <v>9600</v>
      </c>
      <c r="I859" s="74">
        <f>[1]!'@CTA[8-2-3-2-7-2711,F,1,#6]'</f>
        <v>0</v>
      </c>
      <c r="J859" s="75">
        <f>[1]!'@CTA[8-2-1-2-7-2711,F,1,#6]'+[1]!'@CTA[8-2-3-2-7-2711,F,1,#6]'</f>
        <v>9600</v>
      </c>
      <c r="K859" s="76">
        <f>[1]!'@CTA[8-2-4-2-7-2711,J,1,#6]'</f>
        <v>5058.0599999999995</v>
      </c>
      <c r="L859" s="76">
        <f>[1]!'@CTA[8-2-5-2-7-2711,J,1,#6]'</f>
        <v>5058.0599999999995</v>
      </c>
      <c r="M859" s="76">
        <f>[1]!'@CTA[8-2-6-2-7-2711,J,1,#6]'</f>
        <v>5058.0599999999995</v>
      </c>
      <c r="N859" s="74">
        <f>[1]!'@CTA[8-2-7-2-7-2711,F,1,#6]'</f>
        <v>5058.0599999999995</v>
      </c>
      <c r="O859" s="66">
        <f t="shared" si="60"/>
        <v>4541.9400000000005</v>
      </c>
    </row>
    <row r="860" spans="1:15" ht="120" x14ac:dyDescent="0.2">
      <c r="A860" s="67" t="s">
        <v>302</v>
      </c>
      <c r="B860" s="61" t="s">
        <v>152</v>
      </c>
      <c r="C860" s="61" t="s">
        <v>149</v>
      </c>
      <c r="D860" s="62" t="s">
        <v>303</v>
      </c>
      <c r="E860" s="71" t="s">
        <v>177</v>
      </c>
      <c r="F860" s="72">
        <v>2712</v>
      </c>
      <c r="G860" s="73" t="s">
        <v>199</v>
      </c>
      <c r="H860" s="74">
        <f>[1]!'@CTA[8-2-1-2-7-2712,F,1,#6]'</f>
        <v>174646</v>
      </c>
      <c r="I860" s="74">
        <f>[1]!'@CTA[8-2-3-2-7-2712,F,1,#6]'</f>
        <v>0</v>
      </c>
      <c r="J860" s="75">
        <f>[1]!'@CTA[8-2-1-2-7-2712,F,1,#6]'+[1]!'@CTA[8-2-3-2-7-2712,F,1,#6]'</f>
        <v>174646</v>
      </c>
      <c r="K860" s="76">
        <f>[1]!'@CTA[8-2-4-2-7-2712,J,1,#6]'</f>
        <v>49212.54</v>
      </c>
      <c r="L860" s="76">
        <f>[1]!'@CTA[8-2-5-2-7-2712,J,1,#6]'</f>
        <v>49212.54</v>
      </c>
      <c r="M860" s="76">
        <f>[1]!'@CTA[8-2-6-2-7-2712,J,1,#6]'</f>
        <v>49212.54</v>
      </c>
      <c r="N860" s="74">
        <f>[1]!'@CTA[8-2-7-2-7-2712,F,1,#6]'</f>
        <v>49212.54</v>
      </c>
      <c r="O860" s="66">
        <f t="shared" si="60"/>
        <v>125433.45999999999</v>
      </c>
    </row>
    <row r="861" spans="1:15" ht="120" x14ac:dyDescent="0.2">
      <c r="A861" s="67" t="s">
        <v>302</v>
      </c>
      <c r="B861" s="61" t="s">
        <v>152</v>
      </c>
      <c r="C861" s="61" t="s">
        <v>149</v>
      </c>
      <c r="D861" s="62" t="s">
        <v>303</v>
      </c>
      <c r="E861" s="71" t="s">
        <v>177</v>
      </c>
      <c r="F861" s="72">
        <v>2721</v>
      </c>
      <c r="G861" s="73" t="s">
        <v>200</v>
      </c>
      <c r="H861" s="74">
        <f>[1]!'@CTA[8-2-1-2-7-2721,F,1,#6]'</f>
        <v>20439</v>
      </c>
      <c r="I861" s="74">
        <f>[1]!'@CTA[8-2-3-2-7-2721,F,1,#6]'</f>
        <v>0</v>
      </c>
      <c r="J861" s="75">
        <f>[1]!'@CTA[8-2-1-2-7-2721,F,1,#6]'+[1]!'@CTA[8-2-3-2-7-2721,F,1,#6]'</f>
        <v>20439</v>
      </c>
      <c r="K861" s="76">
        <f>[1]!'@CTA[8-2-4-2-7-2721,J,1,#6]'</f>
        <v>449.24</v>
      </c>
      <c r="L861" s="76">
        <f>[1]!'@CTA[8-2-5-2-7-2721,J,1,#6]'</f>
        <v>449.24</v>
      </c>
      <c r="M861" s="76">
        <f>[1]!'@CTA[8-2-6-2-7-2721,J,1,#6]'</f>
        <v>449.24</v>
      </c>
      <c r="N861" s="74">
        <f>[1]!'@CTA[8-2-7-2-7-2721,F,1,#6]'</f>
        <v>449.23999999999842</v>
      </c>
      <c r="O861" s="66">
        <f t="shared" si="60"/>
        <v>19989.759999999998</v>
      </c>
    </row>
    <row r="862" spans="1:15" ht="120" x14ac:dyDescent="0.2">
      <c r="A862" s="67" t="s">
        <v>302</v>
      </c>
      <c r="B862" s="61" t="s">
        <v>152</v>
      </c>
      <c r="C862" s="61" t="s">
        <v>149</v>
      </c>
      <c r="D862" s="62" t="s">
        <v>303</v>
      </c>
      <c r="E862" s="71" t="s">
        <v>177</v>
      </c>
      <c r="F862" s="72">
        <v>2731</v>
      </c>
      <c r="G862" s="73" t="s">
        <v>201</v>
      </c>
      <c r="H862" s="74">
        <f>[1]!'@CTA[8-2-1-2-7-2731,F,1,#6]'</f>
        <v>8000</v>
      </c>
      <c r="I862" s="74">
        <f>[1]!'@CTA[8-2-3-2-7-2731,F,1,#6]'</f>
        <v>0</v>
      </c>
      <c r="J862" s="75">
        <f>[1]!'@CTA[8-2-1-2-7-2731,F,1,#6]'+[1]!'@CTA[8-2-3-2-7-2731,F,1,#6]'</f>
        <v>8000</v>
      </c>
      <c r="K862" s="76">
        <f>[1]!'@CTA[8-2-4-2-7-2731,J,1,#6]'</f>
        <v>0</v>
      </c>
      <c r="L862" s="76">
        <f>[1]!'@CTA[8-2-5-2-7-2731,J,1,#6]'</f>
        <v>0</v>
      </c>
      <c r="M862" s="76">
        <f>[1]!'@CTA[8-2-6-2-7-2731,J,1,#6]'</f>
        <v>0</v>
      </c>
      <c r="N862" s="74">
        <f>[1]!'@CTA[8-2-7-2-7-2731,F,1,#6]'</f>
        <v>0</v>
      </c>
      <c r="O862" s="66">
        <f t="shared" si="60"/>
        <v>8000</v>
      </c>
    </row>
    <row r="863" spans="1:15" ht="120" x14ac:dyDescent="0.2">
      <c r="A863" s="67" t="s">
        <v>302</v>
      </c>
      <c r="B863" s="61" t="s">
        <v>152</v>
      </c>
      <c r="C863" s="61" t="s">
        <v>149</v>
      </c>
      <c r="D863" s="62" t="s">
        <v>303</v>
      </c>
      <c r="E863" s="71" t="s">
        <v>177</v>
      </c>
      <c r="F863" s="72">
        <v>2911</v>
      </c>
      <c r="G863" s="73" t="s">
        <v>202</v>
      </c>
      <c r="H863" s="74">
        <f>[1]!'@CTA[8-2-1-2-9-2911,F,1,#6]'</f>
        <v>81877</v>
      </c>
      <c r="I863" s="74">
        <f>[1]!'@CTA[8-2-3-2-9-2911,F,1,#6]'</f>
        <v>0</v>
      </c>
      <c r="J863" s="75">
        <f>[1]!'@CTA[8-2-1-2-9-2911,F,1,#6]'+[1]!'@CTA[8-2-3-2-9-2911,F,1,#6]'</f>
        <v>81877</v>
      </c>
      <c r="K863" s="76">
        <f>[1]!'@CTA[8-2-4-2-9-2911,J,1,#6]'</f>
        <v>17816.080000000002</v>
      </c>
      <c r="L863" s="76">
        <f>[1]!'@CTA[8-2-5-2-9-2911,J,1,#6]'</f>
        <v>17816.080000000002</v>
      </c>
      <c r="M863" s="76">
        <f>[1]!'@CTA[8-2-6-2-9-2911,J,1,#6]'</f>
        <v>17816.080000000002</v>
      </c>
      <c r="N863" s="74">
        <f>[1]!'@CTA[8-2-7-2-9-2911,F,1,#6]'</f>
        <v>16718.079999999994</v>
      </c>
      <c r="O863" s="66">
        <f t="shared" si="60"/>
        <v>64060.92</v>
      </c>
    </row>
    <row r="864" spans="1:15" ht="120" x14ac:dyDescent="0.2">
      <c r="A864" s="67" t="s">
        <v>302</v>
      </c>
      <c r="B864" s="61"/>
      <c r="C864" s="61" t="s">
        <v>149</v>
      </c>
      <c r="D864" s="62" t="s">
        <v>303</v>
      </c>
      <c r="E864" s="61"/>
      <c r="F864" s="63">
        <v>3000</v>
      </c>
      <c r="G864" s="77" t="s">
        <v>203</v>
      </c>
      <c r="H864" s="69">
        <f t="shared" ref="H864:N864" si="61">SUBTOTAL(9,H865:H914)</f>
        <v>9731386</v>
      </c>
      <c r="I864" s="69">
        <f t="shared" si="61"/>
        <v>14783.169999999986</v>
      </c>
      <c r="J864" s="69">
        <f t="shared" si="61"/>
        <v>9746169.1699999999</v>
      </c>
      <c r="K864" s="70">
        <f t="shared" si="61"/>
        <v>2772736.32</v>
      </c>
      <c r="L864" s="70">
        <f t="shared" si="61"/>
        <v>2772736.32</v>
      </c>
      <c r="M864" s="70">
        <f t="shared" si="61"/>
        <v>2772736.32</v>
      </c>
      <c r="N864" s="69">
        <f t="shared" si="61"/>
        <v>2637725.2900000019</v>
      </c>
      <c r="O864" s="66">
        <f t="shared" si="60"/>
        <v>6973432.8499999996</v>
      </c>
    </row>
    <row r="865" spans="1:15" ht="120" x14ac:dyDescent="0.2">
      <c r="A865" s="67" t="s">
        <v>302</v>
      </c>
      <c r="B865" s="61" t="s">
        <v>152</v>
      </c>
      <c r="C865" s="61" t="s">
        <v>149</v>
      </c>
      <c r="D865" s="62" t="s">
        <v>303</v>
      </c>
      <c r="E865" s="71" t="s">
        <v>177</v>
      </c>
      <c r="F865" s="72">
        <v>3111</v>
      </c>
      <c r="G865" s="73" t="s">
        <v>204</v>
      </c>
      <c r="H865" s="74">
        <f>[1]!'@CTA[8-2-1-3-1-3111,F,1,#6]'</f>
        <v>5409536</v>
      </c>
      <c r="I865" s="74">
        <f>[1]!'@CTA[8-2-3-3-1-3111,F,1,#6]'</f>
        <v>3864.5799999999854</v>
      </c>
      <c r="J865" s="75">
        <f>[1]!'@CTA[8-2-1-3-1-3111,F,1,#6]'+[1]!'@CTA[8-2-3-3-1-3111,F,1,#6]'</f>
        <v>5413400.5800000001</v>
      </c>
      <c r="K865" s="76">
        <f>[1]!'@CTA[8-2-4-3-1-3111,J,1,#6]'</f>
        <v>1650375.4099999997</v>
      </c>
      <c r="L865" s="76">
        <f>[1]!'@CTA[8-2-5-3-1-3111,J,1,#6]'</f>
        <v>1650375.4099999997</v>
      </c>
      <c r="M865" s="76">
        <f>[1]!'@CTA[8-2-6-3-1-3111,J,1,#6]'</f>
        <v>1650375.4099999997</v>
      </c>
      <c r="N865" s="74">
        <f>[1]!'@CTA[8-2-7-3-1-3111,F,1,#6]'</f>
        <v>1541932.4400000009</v>
      </c>
      <c r="O865" s="66">
        <f t="shared" si="60"/>
        <v>3763025.1700000004</v>
      </c>
    </row>
    <row r="866" spans="1:15" ht="120" x14ac:dyDescent="0.2">
      <c r="A866" s="67" t="s">
        <v>302</v>
      </c>
      <c r="B866" s="61" t="s">
        <v>152</v>
      </c>
      <c r="C866" s="61" t="s">
        <v>149</v>
      </c>
      <c r="D866" s="62" t="s">
        <v>303</v>
      </c>
      <c r="E866" s="71" t="s">
        <v>177</v>
      </c>
      <c r="F866" s="72">
        <v>3131</v>
      </c>
      <c r="G866" s="73" t="s">
        <v>205</v>
      </c>
      <c r="H866" s="74">
        <f>[1]!'@CTA[8-2-1-3-1-3131,F,1,#6]'</f>
        <v>960</v>
      </c>
      <c r="I866" s="74">
        <f>[1]!'@CTA[8-2-3-3-1-3131,F,1,#6]'</f>
        <v>0</v>
      </c>
      <c r="J866" s="75">
        <f>[1]!'@CTA[8-2-1-3-1-3131,F,1,#6]'+[1]!'@CTA[8-2-3-3-1-3131,F,1,#6]'</f>
        <v>960</v>
      </c>
      <c r="K866" s="76">
        <f>[1]!'@CTA[8-2-4-3-1-3131,J,1,#6]'</f>
        <v>182.39000000000001</v>
      </c>
      <c r="L866" s="76">
        <f>[1]!'@CTA[8-2-5-3-1-3131,J,1,#6]'</f>
        <v>182.39000000000001</v>
      </c>
      <c r="M866" s="76">
        <f>[1]!'@CTA[8-2-6-3-1-3131,J,1,#6]'</f>
        <v>182.39000000000001</v>
      </c>
      <c r="N866" s="74">
        <f>[1]!'@CTA[8-2-7-3-1-3131,F,1,#6]'</f>
        <v>182.38999999999956</v>
      </c>
      <c r="O866" s="66">
        <f t="shared" si="60"/>
        <v>777.61</v>
      </c>
    </row>
    <row r="867" spans="1:15" ht="120" x14ac:dyDescent="0.2">
      <c r="A867" s="67" t="s">
        <v>302</v>
      </c>
      <c r="B867" s="61" t="s">
        <v>152</v>
      </c>
      <c r="C867" s="61" t="s">
        <v>149</v>
      </c>
      <c r="D867" s="62" t="s">
        <v>303</v>
      </c>
      <c r="E867" s="71" t="s">
        <v>177</v>
      </c>
      <c r="F867" s="72">
        <v>3141</v>
      </c>
      <c r="G867" s="73" t="s">
        <v>206</v>
      </c>
      <c r="H867" s="74">
        <f>[1]!'@CTA[8-2-1-3-1-3141,F,1,#6]'</f>
        <v>2940</v>
      </c>
      <c r="I867" s="74">
        <f>[1]!'@CTA[8-2-3-3-1-3141,F,1,#6]'</f>
        <v>466.93</v>
      </c>
      <c r="J867" s="75">
        <f>[1]!'@CTA[8-2-1-3-1-3141,F,1,#6]'+[1]!'@CTA[8-2-3-3-1-3141,F,1,#6]'</f>
        <v>3406.93</v>
      </c>
      <c r="K867" s="76">
        <f>[1]!'@CTA[8-2-4-3-1-3141,J,1,#6]'</f>
        <v>1091.02</v>
      </c>
      <c r="L867" s="76">
        <f>[1]!'@CTA[8-2-5-3-1-3141,J,1,#6]'</f>
        <v>1091.02</v>
      </c>
      <c r="M867" s="76">
        <f>[1]!'@CTA[8-2-6-3-1-3141,J,1,#6]'</f>
        <v>1091.02</v>
      </c>
      <c r="N867" s="74">
        <f>[1]!'@CTA[8-2-7-3-1-3141,F,1,#6]'</f>
        <v>950.68000000000086</v>
      </c>
      <c r="O867" s="66">
        <f t="shared" si="60"/>
        <v>2315.91</v>
      </c>
    </row>
    <row r="868" spans="1:15" ht="120" x14ac:dyDescent="0.2">
      <c r="A868" s="67" t="s">
        <v>302</v>
      </c>
      <c r="B868" s="61" t="s">
        <v>152</v>
      </c>
      <c r="C868" s="61" t="s">
        <v>149</v>
      </c>
      <c r="D868" s="62" t="s">
        <v>303</v>
      </c>
      <c r="E868" s="71" t="s">
        <v>177</v>
      </c>
      <c r="F868" s="72">
        <v>3161</v>
      </c>
      <c r="G868" s="73" t="s">
        <v>207</v>
      </c>
      <c r="H868" s="74">
        <f>[1]!'@CTA[8-2-1-3-1-3161,F,1,#6]'</f>
        <v>25500</v>
      </c>
      <c r="I868" s="74">
        <f>[1]!'@CTA[8-2-3-3-1-3161,F,1,#6]'</f>
        <v>0</v>
      </c>
      <c r="J868" s="75">
        <f>[1]!'@CTA[8-2-1-3-1-3161,F,1,#6]'+[1]!'@CTA[8-2-3-3-1-3161,F,1,#6]'</f>
        <v>25500</v>
      </c>
      <c r="K868" s="76">
        <f>[1]!'@CTA[8-2-4-3-1-3161,J,1,#6]'</f>
        <v>3068.26</v>
      </c>
      <c r="L868" s="76">
        <f>[1]!'@CTA[8-2-5-3-1-3161,J,1,#6]'</f>
        <v>3068.26</v>
      </c>
      <c r="M868" s="76">
        <f>[1]!'@CTA[8-2-6-3-1-3161,J,1,#6]'</f>
        <v>3068.26</v>
      </c>
      <c r="N868" s="74">
        <f>[1]!'@CTA[8-2-7-3-1-3161,F,1,#6]'</f>
        <v>3068.26</v>
      </c>
      <c r="O868" s="66">
        <f t="shared" si="60"/>
        <v>22431.739999999998</v>
      </c>
    </row>
    <row r="869" spans="1:15" ht="120" x14ac:dyDescent="0.2">
      <c r="A869" s="67" t="s">
        <v>302</v>
      </c>
      <c r="B869" s="61" t="s">
        <v>152</v>
      </c>
      <c r="C869" s="61" t="s">
        <v>149</v>
      </c>
      <c r="D869" s="62" t="s">
        <v>303</v>
      </c>
      <c r="E869" s="71" t="s">
        <v>177</v>
      </c>
      <c r="F869" s="72">
        <v>3171</v>
      </c>
      <c r="G869" s="73" t="s">
        <v>208</v>
      </c>
      <c r="H869" s="74">
        <f>[1]!'@CTA[8-2-1-3-1-3171,F,1,#6]'</f>
        <v>655</v>
      </c>
      <c r="I869" s="74">
        <f>[1]!'@CTA[8-2-3-3-1-3171,F,1,#6]'</f>
        <v>0</v>
      </c>
      <c r="J869" s="75">
        <f>[1]!'@CTA[8-2-1-3-1-3171,F,1,#6]'+[1]!'@CTA[8-2-3-3-1-3171,F,1,#6]'</f>
        <v>655</v>
      </c>
      <c r="K869" s="76">
        <f>[1]!'@CTA[8-2-4-3-1-3171,J,1,#6]'</f>
        <v>0</v>
      </c>
      <c r="L869" s="76">
        <f>[1]!'@CTA[8-2-5-3-1-3171,J,1,#6]'</f>
        <v>0</v>
      </c>
      <c r="M869" s="76">
        <f>[1]!'@CTA[8-2-6-3-1-3171,J,1,#6]'</f>
        <v>0</v>
      </c>
      <c r="N869" s="74">
        <f>[1]!'@CTA[8-2-7-3-1-3171,F,1,#6]'</f>
        <v>0</v>
      </c>
      <c r="O869" s="66">
        <f t="shared" si="60"/>
        <v>655</v>
      </c>
    </row>
    <row r="870" spans="1:15" ht="120" x14ac:dyDescent="0.2">
      <c r="A870" s="67" t="s">
        <v>302</v>
      </c>
      <c r="B870" s="61" t="s">
        <v>152</v>
      </c>
      <c r="C870" s="61" t="s">
        <v>149</v>
      </c>
      <c r="D870" s="62" t="s">
        <v>303</v>
      </c>
      <c r="E870" s="71" t="s">
        <v>177</v>
      </c>
      <c r="F870" s="72">
        <v>3181</v>
      </c>
      <c r="G870" s="73" t="s">
        <v>209</v>
      </c>
      <c r="H870" s="74">
        <f>[1]!'@CTA[8-2-1-3-1-3181,F,1,#6]'</f>
        <v>0</v>
      </c>
      <c r="I870" s="74">
        <f>[1]!'@CTA[8-2-3-3-1-3181,F,1,#6]'</f>
        <v>-2.2737367544323206E-13</v>
      </c>
      <c r="J870" s="75">
        <f>[1]!'@CTA[8-2-1-3-1-3181,F,1,#6]'+[1]!'@CTA[8-2-3-3-1-3181,F,1,#6]'</f>
        <v>-2.2737367544323206E-13</v>
      </c>
      <c r="K870" s="76">
        <f>[1]!'@CTA[8-2-4-3-1-3181,J,1,#6]'</f>
        <v>0</v>
      </c>
      <c r="L870" s="76">
        <f>[1]!'@CTA[8-2-5-3-1-3181,J,1,#6]'</f>
        <v>0</v>
      </c>
      <c r="M870" s="76">
        <f>[1]!'@CTA[8-2-6-3-1-3181,J,1,#6]'</f>
        <v>0</v>
      </c>
      <c r="N870" s="74">
        <f>[1]!'@CTA[8-2-7-3-1-3181,F,1,#6]'</f>
        <v>-2.8421709430404007E-14</v>
      </c>
      <c r="O870" s="66">
        <f t="shared" si="60"/>
        <v>-2.2737367544323206E-13</v>
      </c>
    </row>
    <row r="871" spans="1:15" ht="120" x14ac:dyDescent="0.2">
      <c r="A871" s="67" t="s">
        <v>302</v>
      </c>
      <c r="B871" s="61" t="s">
        <v>152</v>
      </c>
      <c r="C871" s="61" t="s">
        <v>149</v>
      </c>
      <c r="D871" s="62" t="s">
        <v>303</v>
      </c>
      <c r="E871" s="71" t="s">
        <v>177</v>
      </c>
      <c r="F871" s="72">
        <v>3182</v>
      </c>
      <c r="G871" s="73" t="s">
        <v>210</v>
      </c>
      <c r="H871" s="74">
        <f>[1]!'@CTA[8-2-1-3-1-3182,F,1,#6]'</f>
        <v>0</v>
      </c>
      <c r="I871" s="74">
        <f>[1]!'@CTA[8-2-3-3-1-3182,F,1,#6]'</f>
        <v>0</v>
      </c>
      <c r="J871" s="75">
        <f>[1]!'@CTA[8-2-1-3-1-3182,F,1,#6]'+[1]!'@CTA[8-2-3-3-1-3182,F,1,#6]'</f>
        <v>0</v>
      </c>
      <c r="K871" s="76">
        <f>[1]!'@CTA[8-2-4-3-1-3182,J,1,#6]'</f>
        <v>0</v>
      </c>
      <c r="L871" s="76">
        <f>[1]!'@CTA[8-2-5-3-1-3182,J,1,#6]'</f>
        <v>0</v>
      </c>
      <c r="M871" s="76">
        <f>[1]!'@CTA[8-2-6-3-1-3182,J,1,#6]'</f>
        <v>0</v>
      </c>
      <c r="N871" s="74">
        <f>[1]!'@CTA[8-2-7-3-1-3182,F,1,#6]'</f>
        <v>0</v>
      </c>
      <c r="O871" s="66">
        <f t="shared" si="60"/>
        <v>0</v>
      </c>
    </row>
    <row r="872" spans="1:15" ht="120" x14ac:dyDescent="0.2">
      <c r="A872" s="67" t="s">
        <v>302</v>
      </c>
      <c r="B872" s="61" t="s">
        <v>152</v>
      </c>
      <c r="C872" s="61" t="s">
        <v>149</v>
      </c>
      <c r="D872" s="62" t="s">
        <v>303</v>
      </c>
      <c r="E872" s="71" t="s">
        <v>211</v>
      </c>
      <c r="F872" s="72">
        <v>3211</v>
      </c>
      <c r="G872" s="73" t="s">
        <v>212</v>
      </c>
      <c r="H872" s="74">
        <f>[1]!'@CTA[8-2-1-3-2-3211,F,1,#6]'</f>
        <v>0</v>
      </c>
      <c r="I872" s="74">
        <f>[1]!'@CTA[8-2-3-3-2-3211,F,1,#6]'</f>
        <v>0</v>
      </c>
      <c r="J872" s="75">
        <f>[1]!'@CTA[8-2-1-3-2-3211,F,1,#6]'+[1]!'@CTA[8-2-3-3-2-3211,F,1,#6]'</f>
        <v>0</v>
      </c>
      <c r="K872" s="76">
        <f>[1]!'@CTA[8-2-4-3-2-3211,J,1,#6]'</f>
        <v>0</v>
      </c>
      <c r="L872" s="76">
        <f>[1]!'@CTA[8-2-5-3-2-3211,J,1,#6]'</f>
        <v>0</v>
      </c>
      <c r="M872" s="76">
        <f>[1]!'@CTA[8-2-6-3-2-3211,J,1,#6]'</f>
        <v>0</v>
      </c>
      <c r="N872" s="74">
        <f>[1]!'@CTA[8-2-7-3-2-3211,F,1,#6]'</f>
        <v>0</v>
      </c>
      <c r="O872" s="66">
        <f t="shared" si="60"/>
        <v>0</v>
      </c>
    </row>
    <row r="873" spans="1:15" ht="120" x14ac:dyDescent="0.2">
      <c r="A873" s="67" t="s">
        <v>302</v>
      </c>
      <c r="B873" s="61" t="s">
        <v>152</v>
      </c>
      <c r="C873" s="61" t="s">
        <v>149</v>
      </c>
      <c r="D873" s="62" t="s">
        <v>303</v>
      </c>
      <c r="E873" s="71" t="s">
        <v>177</v>
      </c>
      <c r="F873" s="72">
        <v>3231</v>
      </c>
      <c r="G873" s="73" t="s">
        <v>213</v>
      </c>
      <c r="H873" s="74">
        <f>[1]!'@CTA[8-2-1-3-2-3231,F,1,#6]'</f>
        <v>2400</v>
      </c>
      <c r="I873" s="74">
        <f>[1]!'@CTA[8-2-3-3-2-3231,F,1,#6]'</f>
        <v>0</v>
      </c>
      <c r="J873" s="75">
        <f>[1]!'@CTA[8-2-1-3-2-3231,F,1,#6]'+[1]!'@CTA[8-2-3-3-2-3231,F,1,#6]'</f>
        <v>2400</v>
      </c>
      <c r="K873" s="76">
        <f>[1]!'@CTA[8-2-4-3-2-3231,J,1,#6]'</f>
        <v>48</v>
      </c>
      <c r="L873" s="76">
        <f>[1]!'@CTA[8-2-5-3-2-3231,J,1,#6]'</f>
        <v>48</v>
      </c>
      <c r="M873" s="76">
        <f>[1]!'@CTA[8-2-6-3-2-3231,J,1,#6]'</f>
        <v>48</v>
      </c>
      <c r="N873" s="74">
        <f>[1]!'@CTA[8-2-7-3-2-3231,F,1,#6]'</f>
        <v>47.999999999999773</v>
      </c>
      <c r="O873" s="66">
        <f t="shared" si="60"/>
        <v>2352</v>
      </c>
    </row>
    <row r="874" spans="1:15" ht="120" x14ac:dyDescent="0.2">
      <c r="A874" s="67" t="s">
        <v>302</v>
      </c>
      <c r="B874" s="61" t="s">
        <v>152</v>
      </c>
      <c r="C874" s="61" t="s">
        <v>149</v>
      </c>
      <c r="D874" s="62" t="s">
        <v>303</v>
      </c>
      <c r="E874" s="71" t="s">
        <v>177</v>
      </c>
      <c r="F874" s="72">
        <v>3261</v>
      </c>
      <c r="G874" s="73" t="s">
        <v>214</v>
      </c>
      <c r="H874" s="74">
        <f>[1]!'@CTA[8-2-1-3-2-3261,F,1,#6]'</f>
        <v>0</v>
      </c>
      <c r="I874" s="74">
        <f>[1]!'@CTA[8-2-3-3-2-3261,F,1,#6]'</f>
        <v>0</v>
      </c>
      <c r="J874" s="75">
        <f>[1]!'@CTA[8-2-1-3-2-3261,F,1,#6]'+[1]!'@CTA[8-2-3-3-2-3261,F,1,#6]'</f>
        <v>0</v>
      </c>
      <c r="K874" s="76">
        <f>[1]!'@CTA[8-2-4-3-2-3261,J,1,#6]'</f>
        <v>0</v>
      </c>
      <c r="L874" s="76">
        <f>[1]!'@CTA[8-2-5-3-2-3261,J,1,#6]'</f>
        <v>0</v>
      </c>
      <c r="M874" s="76">
        <f>[1]!'@CTA[8-2-6-3-2-3261,J,1,#6]'</f>
        <v>0</v>
      </c>
      <c r="N874" s="74">
        <f>[1]!'@CTA[8-2-7-3-2-3261,F,1,#6]'</f>
        <v>0</v>
      </c>
      <c r="O874" s="66">
        <f t="shared" si="60"/>
        <v>0</v>
      </c>
    </row>
    <row r="875" spans="1:15" ht="120" x14ac:dyDescent="0.2">
      <c r="A875" s="67" t="s">
        <v>302</v>
      </c>
      <c r="B875" s="61" t="s">
        <v>152</v>
      </c>
      <c r="C875" s="61" t="s">
        <v>149</v>
      </c>
      <c r="D875" s="62" t="s">
        <v>303</v>
      </c>
      <c r="E875" s="71" t="s">
        <v>177</v>
      </c>
      <c r="F875" s="72">
        <v>3291</v>
      </c>
      <c r="G875" s="73" t="s">
        <v>215</v>
      </c>
      <c r="H875" s="74">
        <f>[1]!'@CTA[8-2-1-3-2-3291,F,1,#6]'</f>
        <v>0</v>
      </c>
      <c r="I875" s="74">
        <f>[1]!'@CTA[8-2-3-3-2-3291,F,1,#6]'</f>
        <v>0</v>
      </c>
      <c r="J875" s="75">
        <f>[1]!'@CTA[8-2-1-3-2-3291,F,1,#6]'+[1]!'@CTA[8-2-3-3-2-3291,F,1,#6]'</f>
        <v>0</v>
      </c>
      <c r="K875" s="76">
        <f>[1]!'@CTA[8-2-4-3-2-3291,J,1,#6]'</f>
        <v>0</v>
      </c>
      <c r="L875" s="76">
        <f>[1]!'@CTA[8-2-5-3-2-3291,J,1,#6]'</f>
        <v>0</v>
      </c>
      <c r="M875" s="76">
        <f>[1]!'@CTA[8-2-6-3-2-3291,J,1,#6]'</f>
        <v>0</v>
      </c>
      <c r="N875" s="74">
        <f>[1]!'@CTA[8-2-7-3-2-3291,F,1,#6]'</f>
        <v>0</v>
      </c>
      <c r="O875" s="66">
        <f t="shared" si="60"/>
        <v>0</v>
      </c>
    </row>
    <row r="876" spans="1:15" ht="120" x14ac:dyDescent="0.2">
      <c r="A876" s="67" t="s">
        <v>302</v>
      </c>
      <c r="B876" s="61" t="s">
        <v>152</v>
      </c>
      <c r="C876" s="61" t="s">
        <v>149</v>
      </c>
      <c r="D876" s="62" t="s">
        <v>303</v>
      </c>
      <c r="E876" s="71" t="s">
        <v>177</v>
      </c>
      <c r="F876" s="72">
        <v>3311</v>
      </c>
      <c r="G876" s="73" t="s">
        <v>216</v>
      </c>
      <c r="H876" s="74">
        <f>[1]!'@CTA[8-2-1-3-3-3311,F,1,#6]'</f>
        <v>0</v>
      </c>
      <c r="I876" s="74">
        <f>[1]!'@CTA[8-2-3-3-3-3311,F,1,#6]'</f>
        <v>0</v>
      </c>
      <c r="J876" s="75">
        <f>[1]!'@CTA[8-2-1-3-3-3311,F,1,#6]'+[1]!'@CTA[8-2-3-3-3-3311,F,1,#6]'</f>
        <v>0</v>
      </c>
      <c r="K876" s="76">
        <f>[1]!'@CTA[8-2-4-3-3-3311,J,1,#6]'</f>
        <v>1142.8599999999999</v>
      </c>
      <c r="L876" s="76">
        <f>[1]!'@CTA[8-2-5-3-3-3311,J,1,#6]'</f>
        <v>1142.8599999999999</v>
      </c>
      <c r="M876" s="76">
        <f>[1]!'@CTA[8-2-6-3-3-3311,J,1,#6]'</f>
        <v>1142.8599999999999</v>
      </c>
      <c r="N876" s="74">
        <f>[1]!'@CTA[8-2-7-3-3-3311,F,1,#6]'</f>
        <v>1142.8599999999999</v>
      </c>
      <c r="O876" s="66">
        <f t="shared" si="60"/>
        <v>-1142.8599999999999</v>
      </c>
    </row>
    <row r="877" spans="1:15" ht="120" x14ac:dyDescent="0.2">
      <c r="A877" s="67" t="s">
        <v>302</v>
      </c>
      <c r="B877" s="61" t="s">
        <v>152</v>
      </c>
      <c r="C877" s="61" t="s">
        <v>149</v>
      </c>
      <c r="D877" s="62" t="s">
        <v>303</v>
      </c>
      <c r="E877" s="71" t="s">
        <v>177</v>
      </c>
      <c r="F877" s="72">
        <v>3331</v>
      </c>
      <c r="G877" s="73" t="s">
        <v>217</v>
      </c>
      <c r="H877" s="74">
        <f>[1]!'@CTA[8-2-1-3-3-3331,F,1,#6]'</f>
        <v>0</v>
      </c>
      <c r="I877" s="74">
        <f>[1]!'@CTA[8-2-3-3-3-3331,F,1,#6]'</f>
        <v>0</v>
      </c>
      <c r="J877" s="75">
        <f>[1]!'@CTA[8-2-1-3-3-3331,F,1,#6]'+[1]!'@CTA[8-2-3-3-3-3331,F,1,#6]'</f>
        <v>0</v>
      </c>
      <c r="K877" s="76">
        <f>[1]!'@CTA[8-2-4-3-3-3331,J,1,#6]'</f>
        <v>0</v>
      </c>
      <c r="L877" s="76">
        <f>[1]!'@CTA[8-2-5-3-3-3331,J,1,#6]'</f>
        <v>0</v>
      </c>
      <c r="M877" s="76">
        <f>[1]!'@CTA[8-2-6-3-3-3331,J,1,#6]'</f>
        <v>0</v>
      </c>
      <c r="N877" s="74">
        <f>[1]!'@CTA[8-2-7-3-3-3331,F,1,#6]'</f>
        <v>0</v>
      </c>
      <c r="O877" s="66">
        <f t="shared" si="60"/>
        <v>0</v>
      </c>
    </row>
    <row r="878" spans="1:15" ht="120" x14ac:dyDescent="0.2">
      <c r="A878" s="67" t="s">
        <v>302</v>
      </c>
      <c r="B878" s="61" t="s">
        <v>152</v>
      </c>
      <c r="C878" s="61" t="s">
        <v>149</v>
      </c>
      <c r="D878" s="62" t="s">
        <v>303</v>
      </c>
      <c r="E878" s="71" t="s">
        <v>177</v>
      </c>
      <c r="F878" s="72">
        <v>3332</v>
      </c>
      <c r="G878" s="73" t="s">
        <v>218</v>
      </c>
      <c r="H878" s="74">
        <f>[1]!'@CTA[8-2-1-3-3-3332,F,1,#6]'</f>
        <v>0</v>
      </c>
      <c r="I878" s="74">
        <f>[1]!'@CTA[8-2-3-3-3-3332,F,1,#6]'</f>
        <v>0</v>
      </c>
      <c r="J878" s="75">
        <f>[1]!'@CTA[8-2-1-3-3-3332,F,1,#6]'+[1]!'@CTA[8-2-3-3-3-3332,F,1,#6]'</f>
        <v>0</v>
      </c>
      <c r="K878" s="76">
        <f>[1]!'@CTA[8-2-4-3-3-3332,J,1,#6]'</f>
        <v>0</v>
      </c>
      <c r="L878" s="76">
        <f>[1]!'@CTA[8-2-5-3-3-3332,J,1,#6]'</f>
        <v>0</v>
      </c>
      <c r="M878" s="76">
        <f>[1]!'@CTA[8-2-6-3-3-3332,J,1,#6]'</f>
        <v>0</v>
      </c>
      <c r="N878" s="74">
        <f>[1]!'@CTA[8-2-7-3-3-3332,F,1,#6]'</f>
        <v>0</v>
      </c>
      <c r="O878" s="66">
        <f t="shared" si="60"/>
        <v>0</v>
      </c>
    </row>
    <row r="879" spans="1:15" ht="120" x14ac:dyDescent="0.2">
      <c r="A879" s="67" t="s">
        <v>302</v>
      </c>
      <c r="B879" s="61" t="s">
        <v>152</v>
      </c>
      <c r="C879" s="61" t="s">
        <v>149</v>
      </c>
      <c r="D879" s="62" t="s">
        <v>303</v>
      </c>
      <c r="E879" s="71" t="s">
        <v>177</v>
      </c>
      <c r="F879" s="72">
        <v>3341</v>
      </c>
      <c r="G879" s="73" t="s">
        <v>219</v>
      </c>
      <c r="H879" s="74">
        <f>[1]!'@CTA[8-2-1-3-3-3341,F,1,#6]'</f>
        <v>0</v>
      </c>
      <c r="I879" s="74">
        <f>[1]!'@CTA[8-2-3-3-3-3341,F,1,#6]'</f>
        <v>-1.8189894035458565E-12</v>
      </c>
      <c r="J879" s="75">
        <f>[1]!'@CTA[8-2-1-3-3-3341,F,1,#6]'+[1]!'@CTA[8-2-3-3-3-3341,F,1,#6]'</f>
        <v>-1.8189894035458565E-12</v>
      </c>
      <c r="K879" s="76">
        <f>[1]!'@CTA[8-2-4-3-3-3341,J,1,#6]'</f>
        <v>0</v>
      </c>
      <c r="L879" s="76">
        <f>[1]!'@CTA[8-2-5-3-3-3341,J,1,#6]'</f>
        <v>0</v>
      </c>
      <c r="M879" s="76">
        <f>[1]!'@CTA[8-2-6-3-3-3341,J,1,#6]'</f>
        <v>0</v>
      </c>
      <c r="N879" s="74">
        <f>[1]!'@CTA[8-2-7-3-3-3341,F,1,#6]'</f>
        <v>0</v>
      </c>
      <c r="O879" s="66">
        <f t="shared" si="60"/>
        <v>-1.8189894035458565E-12</v>
      </c>
    </row>
    <row r="880" spans="1:15" ht="120" x14ac:dyDescent="0.2">
      <c r="A880" s="67" t="s">
        <v>302</v>
      </c>
      <c r="B880" s="61" t="s">
        <v>152</v>
      </c>
      <c r="C880" s="61" t="s">
        <v>149</v>
      </c>
      <c r="D880" s="62" t="s">
        <v>303</v>
      </c>
      <c r="E880" s="71" t="s">
        <v>177</v>
      </c>
      <c r="F880" s="72">
        <v>3381</v>
      </c>
      <c r="G880" s="73" t="s">
        <v>220</v>
      </c>
      <c r="H880" s="74">
        <f>[1]!'@CTA[8-2-1-3-3-3381,F,1,#6]'</f>
        <v>0</v>
      </c>
      <c r="I880" s="74">
        <f>[1]!'@CTA[8-2-3-3-3-3381,F,1,#6]'</f>
        <v>0</v>
      </c>
      <c r="J880" s="75">
        <f>[1]!'@CTA[8-2-1-3-3-3381,F,1,#6]'+[1]!'@CTA[8-2-3-3-3-3381,F,1,#6]'</f>
        <v>0</v>
      </c>
      <c r="K880" s="76">
        <f>[1]!'@CTA[8-2-4-3-3-3381,J,1,#6]'</f>
        <v>0</v>
      </c>
      <c r="L880" s="76">
        <f>[1]!'@CTA[8-2-5-3-3-3381,J,1,#6]'</f>
        <v>0</v>
      </c>
      <c r="M880" s="76">
        <f>[1]!'@CTA[8-2-6-3-3-3381,J,1,#6]'</f>
        <v>0</v>
      </c>
      <c r="N880" s="74">
        <f>[1]!'@CTA[8-2-7-3-3-3381,F,1,#6]'</f>
        <v>0</v>
      </c>
      <c r="O880" s="66">
        <f t="shared" si="60"/>
        <v>0</v>
      </c>
    </row>
    <row r="881" spans="1:15" ht="120" x14ac:dyDescent="0.2">
      <c r="A881" s="67" t="s">
        <v>302</v>
      </c>
      <c r="B881" s="61" t="s">
        <v>152</v>
      </c>
      <c r="C881" s="61" t="s">
        <v>149</v>
      </c>
      <c r="D881" s="62" t="s">
        <v>303</v>
      </c>
      <c r="E881" s="71" t="s">
        <v>177</v>
      </c>
      <c r="F881" s="72">
        <v>3391</v>
      </c>
      <c r="G881" s="73" t="s">
        <v>221</v>
      </c>
      <c r="H881" s="74">
        <f>[1]!'@CTA[8-2-1-3-3-3391,F,1,#6]'</f>
        <v>240000</v>
      </c>
      <c r="I881" s="74">
        <f>[1]!'@CTA[8-2-3-3-3-3391,F,1,#6]'</f>
        <v>0</v>
      </c>
      <c r="J881" s="75">
        <f>[1]!'@CTA[8-2-1-3-3-3391,F,1,#6]'+[1]!'@CTA[8-2-3-3-3-3391,F,1,#6]'</f>
        <v>240000</v>
      </c>
      <c r="K881" s="76">
        <f>[1]!'@CTA[8-2-4-3-3-3391,J,1,#6]'</f>
        <v>0</v>
      </c>
      <c r="L881" s="76">
        <f>[1]!'@CTA[8-2-5-3-3-3391,J,1,#6]'</f>
        <v>0</v>
      </c>
      <c r="M881" s="76">
        <f>[1]!'@CTA[8-2-6-3-3-3391,J,1,#6]'</f>
        <v>0</v>
      </c>
      <c r="N881" s="74">
        <f>[1]!'@CTA[8-2-7-3-3-3391,F,1,#6]'</f>
        <v>0</v>
      </c>
      <c r="O881" s="66">
        <f t="shared" si="60"/>
        <v>240000</v>
      </c>
    </row>
    <row r="882" spans="1:15" ht="120" x14ac:dyDescent="0.2">
      <c r="A882" s="67" t="s">
        <v>302</v>
      </c>
      <c r="B882" s="61" t="s">
        <v>152</v>
      </c>
      <c r="C882" s="61" t="s">
        <v>149</v>
      </c>
      <c r="D882" s="62" t="s">
        <v>303</v>
      </c>
      <c r="E882" s="71" t="s">
        <v>177</v>
      </c>
      <c r="F882" s="72">
        <v>3411</v>
      </c>
      <c r="G882" s="73" t="s">
        <v>222</v>
      </c>
      <c r="H882" s="74">
        <f>[1]!'@CTA[8-2-1-3-4-3411,F,1,#6]'</f>
        <v>0</v>
      </c>
      <c r="I882" s="74">
        <f>[1]!'@CTA[8-2-3-3-4-3411,F,1,#6]'</f>
        <v>0</v>
      </c>
      <c r="J882" s="75">
        <f>[1]!'@CTA[8-2-1-3-4-3411,F,1,#6]'+[1]!'@CTA[8-2-3-3-4-3411,F,1,#6]'</f>
        <v>0</v>
      </c>
      <c r="K882" s="76">
        <f>[1]!'@CTA[8-2-4-3-4-3411,J,1,#6]'</f>
        <v>0</v>
      </c>
      <c r="L882" s="76">
        <f>[1]!'@CTA[8-2-5-3-4-3411,J,1,#6]'</f>
        <v>0</v>
      </c>
      <c r="M882" s="76">
        <f>[1]!'@CTA[8-2-6-3-4-3411,J,1,#6]'</f>
        <v>0</v>
      </c>
      <c r="N882" s="74">
        <f>[1]!'@CTA[8-2-7-3-4-3411,F,1,#6]'</f>
        <v>-2.9103830456733704E-11</v>
      </c>
      <c r="O882" s="66">
        <f t="shared" si="60"/>
        <v>0</v>
      </c>
    </row>
    <row r="883" spans="1:15" ht="120" x14ac:dyDescent="0.2">
      <c r="A883" s="67" t="s">
        <v>302</v>
      </c>
      <c r="B883" s="61" t="s">
        <v>152</v>
      </c>
      <c r="C883" s="61" t="s">
        <v>149</v>
      </c>
      <c r="D883" s="62" t="s">
        <v>303</v>
      </c>
      <c r="E883" s="71" t="s">
        <v>177</v>
      </c>
      <c r="F883" s="72">
        <v>3431</v>
      </c>
      <c r="G883" s="73" t="s">
        <v>223</v>
      </c>
      <c r="H883" s="74">
        <f>[1]!'@CTA[8-2-1-3-4-3431,F,1,#6]'</f>
        <v>0</v>
      </c>
      <c r="I883" s="74">
        <f>[1]!'@CTA[8-2-3-3-4-3431,F,1,#6]'</f>
        <v>0</v>
      </c>
      <c r="J883" s="75">
        <f>[1]!'@CTA[8-2-1-3-4-3431,F,1,#6]'+[1]!'@CTA[8-2-3-3-4-3431,F,1,#6]'</f>
        <v>0</v>
      </c>
      <c r="K883" s="76">
        <f>[1]!'@CTA[8-2-4-3-4-3431,J,1,#6]'</f>
        <v>0</v>
      </c>
      <c r="L883" s="76">
        <f>[1]!'@CTA[8-2-5-3-4-3431,J,1,#6]'</f>
        <v>0</v>
      </c>
      <c r="M883" s="76">
        <f>[1]!'@CTA[8-2-6-3-4-3431,J,1,#6]'</f>
        <v>0</v>
      </c>
      <c r="N883" s="74">
        <f>[1]!'@CTA[8-2-7-3-4-3431,F,1,#6]'</f>
        <v>0</v>
      </c>
      <c r="O883" s="66">
        <f t="shared" si="60"/>
        <v>0</v>
      </c>
    </row>
    <row r="884" spans="1:15" ht="120" x14ac:dyDescent="0.2">
      <c r="A884" s="67" t="s">
        <v>302</v>
      </c>
      <c r="B884" s="61" t="s">
        <v>152</v>
      </c>
      <c r="C884" s="61" t="s">
        <v>149</v>
      </c>
      <c r="D884" s="62" t="s">
        <v>303</v>
      </c>
      <c r="E884" s="71" t="s">
        <v>177</v>
      </c>
      <c r="F884" s="72">
        <v>3451</v>
      </c>
      <c r="G884" s="73" t="s">
        <v>224</v>
      </c>
      <c r="H884" s="74">
        <f>[1]!'@CTA[8-2-1-3-4-3451,F,1,#6]'</f>
        <v>99067</v>
      </c>
      <c r="I884" s="74">
        <f>[1]!'@CTA[8-2-3-3-4-3451,F,1,#6]'</f>
        <v>0</v>
      </c>
      <c r="J884" s="75">
        <f>[1]!'@CTA[8-2-1-3-4-3451,F,1,#6]'+[1]!'@CTA[8-2-3-3-4-3451,F,1,#6]'</f>
        <v>99067</v>
      </c>
      <c r="K884" s="76">
        <f>[1]!'@CTA[8-2-4-3-4-3451,J,1,#6]'</f>
        <v>24215.22</v>
      </c>
      <c r="L884" s="76">
        <f>[1]!'@CTA[8-2-5-3-4-3451,J,1,#6]'</f>
        <v>24215.22</v>
      </c>
      <c r="M884" s="76">
        <f>[1]!'@CTA[8-2-6-3-4-3451,J,1,#6]'</f>
        <v>24215.22</v>
      </c>
      <c r="N884" s="74">
        <f>[1]!'@CTA[8-2-7-3-4-3451,F,1,#6]'</f>
        <v>24215.220000000016</v>
      </c>
      <c r="O884" s="66">
        <f t="shared" si="60"/>
        <v>74851.78</v>
      </c>
    </row>
    <row r="885" spans="1:15" ht="120" x14ac:dyDescent="0.2">
      <c r="A885" s="67" t="s">
        <v>302</v>
      </c>
      <c r="B885" s="61" t="s">
        <v>152</v>
      </c>
      <c r="C885" s="61" t="s">
        <v>149</v>
      </c>
      <c r="D885" s="62" t="s">
        <v>303</v>
      </c>
      <c r="E885" s="71" t="s">
        <v>177</v>
      </c>
      <c r="F885" s="72">
        <v>3471</v>
      </c>
      <c r="G885" s="73" t="s">
        <v>225</v>
      </c>
      <c r="H885" s="74">
        <f>[1]!'@CTA[8-2-1-3-4-3471,F,1,#6]'</f>
        <v>0</v>
      </c>
      <c r="I885" s="74">
        <f>[1]!'@CTA[8-2-3-3-4-3471,F,1,#6]'</f>
        <v>9.0949470177292824E-13</v>
      </c>
      <c r="J885" s="75">
        <f>[1]!'@CTA[8-2-1-3-4-3471,F,1,#6]'+[1]!'@CTA[8-2-3-3-4-3471,F,1,#6]'</f>
        <v>9.0949470177292824E-13</v>
      </c>
      <c r="K885" s="76">
        <f>[1]!'@CTA[8-2-4-3-4-3471,J,1,#6]'</f>
        <v>0</v>
      </c>
      <c r="L885" s="76">
        <f>[1]!'@CTA[8-2-5-3-4-3471,J,1,#6]'</f>
        <v>0</v>
      </c>
      <c r="M885" s="76">
        <f>[1]!'@CTA[8-2-6-3-4-3471,J,1,#6]'</f>
        <v>0</v>
      </c>
      <c r="N885" s="74">
        <f>[1]!'@CTA[8-2-7-3-4-3471,F,1,#6]'</f>
        <v>0</v>
      </c>
      <c r="O885" s="66">
        <f t="shared" si="60"/>
        <v>9.0949470177292824E-13</v>
      </c>
    </row>
    <row r="886" spans="1:15" ht="120" x14ac:dyDescent="0.2">
      <c r="A886" s="67" t="s">
        <v>302</v>
      </c>
      <c r="B886" s="61" t="s">
        <v>152</v>
      </c>
      <c r="C886" s="61" t="s">
        <v>149</v>
      </c>
      <c r="D886" s="62" t="s">
        <v>303</v>
      </c>
      <c r="E886" s="71" t="s">
        <v>177</v>
      </c>
      <c r="F886" s="72">
        <v>3491</v>
      </c>
      <c r="G886" s="73" t="s">
        <v>226</v>
      </c>
      <c r="H886" s="74">
        <f>[1]!'@CTA[8-2-1-3-4-3491,F,1,#6]'</f>
        <v>7188</v>
      </c>
      <c r="I886" s="74">
        <f>[1]!'@CTA[8-2-3-3-4-3491,F,1,#6]'</f>
        <v>0</v>
      </c>
      <c r="J886" s="75">
        <f>[1]!'@CTA[8-2-1-3-4-3491,F,1,#6]'+[1]!'@CTA[8-2-3-3-4-3491,F,1,#6]'</f>
        <v>7188</v>
      </c>
      <c r="K886" s="76">
        <f>[1]!'@CTA[8-2-4-3-4-3491,J,1,#6]'</f>
        <v>1700.79</v>
      </c>
      <c r="L886" s="76">
        <f>[1]!'@CTA[8-2-5-3-4-3491,J,1,#6]'</f>
        <v>1700.79</v>
      </c>
      <c r="M886" s="76">
        <f>[1]!'@CTA[8-2-6-3-4-3491,J,1,#6]'</f>
        <v>1700.79</v>
      </c>
      <c r="N886" s="74">
        <f>[1]!'@CTA[8-2-7-3-4-3491,F,1,#6]'</f>
        <v>1700.7900000000063</v>
      </c>
      <c r="O886" s="66">
        <f t="shared" si="60"/>
        <v>5487.21</v>
      </c>
    </row>
    <row r="887" spans="1:15" ht="120" x14ac:dyDescent="0.2">
      <c r="A887" s="67" t="s">
        <v>302</v>
      </c>
      <c r="B887" s="61" t="s">
        <v>152</v>
      </c>
      <c r="C887" s="61" t="s">
        <v>149</v>
      </c>
      <c r="D887" s="62" t="s">
        <v>303</v>
      </c>
      <c r="E887" s="71" t="s">
        <v>177</v>
      </c>
      <c r="F887" s="72">
        <v>3511</v>
      </c>
      <c r="G887" s="73" t="s">
        <v>227</v>
      </c>
      <c r="H887" s="74">
        <f>[1]!'@CTA[8-2-1-3-5-3511,F,1,#6]'</f>
        <v>0</v>
      </c>
      <c r="I887" s="74">
        <f>[1]!'@CTA[8-2-3-3-5-3511,F,1,#6]'</f>
        <v>0</v>
      </c>
      <c r="J887" s="75">
        <f>[1]!'@CTA[8-2-1-3-5-3511,F,1,#6]'+[1]!'@CTA[8-2-3-3-5-3511,F,1,#6]'</f>
        <v>0</v>
      </c>
      <c r="K887" s="76">
        <f>[1]!'@CTA[8-2-4-3-5-3511,J,1,#6]'</f>
        <v>0</v>
      </c>
      <c r="L887" s="76">
        <f>[1]!'@CTA[8-2-5-3-5-3511,J,1,#6]'</f>
        <v>0</v>
      </c>
      <c r="M887" s="76">
        <f>[1]!'@CTA[8-2-6-3-5-3511,J,1,#6]'</f>
        <v>0</v>
      </c>
      <c r="N887" s="74">
        <f>[1]!'@CTA[8-2-7-3-5-3511,F,1,#6]'</f>
        <v>0</v>
      </c>
      <c r="O887" s="66">
        <f t="shared" si="60"/>
        <v>0</v>
      </c>
    </row>
    <row r="888" spans="1:15" ht="120" x14ac:dyDescent="0.2">
      <c r="A888" s="67" t="s">
        <v>302</v>
      </c>
      <c r="B888" s="61" t="s">
        <v>152</v>
      </c>
      <c r="C888" s="61" t="s">
        <v>149</v>
      </c>
      <c r="D888" s="62" t="s">
        <v>303</v>
      </c>
      <c r="E888" s="71" t="s">
        <v>177</v>
      </c>
      <c r="F888" s="72">
        <v>3521</v>
      </c>
      <c r="G888" s="73" t="s">
        <v>228</v>
      </c>
      <c r="H888" s="74">
        <f>[1]!'@CTA[8-2-1-3-5-3521,F,1,#6]'</f>
        <v>0</v>
      </c>
      <c r="I888" s="74">
        <f>[1]!'@CTA[8-2-3-3-5-3521,F,1,#6]'</f>
        <v>0</v>
      </c>
      <c r="J888" s="75">
        <f>[1]!'@CTA[8-2-1-3-5-3521,F,1,#6]'+[1]!'@CTA[8-2-3-3-5-3521,F,1,#6]'</f>
        <v>0</v>
      </c>
      <c r="K888" s="76">
        <f>[1]!'@CTA[8-2-4-3-5-3521,J,1,#6]'</f>
        <v>0</v>
      </c>
      <c r="L888" s="76">
        <f>[1]!'@CTA[8-2-5-3-5-3521,J,1,#6]'</f>
        <v>0</v>
      </c>
      <c r="M888" s="76">
        <f>[1]!'@CTA[8-2-6-3-5-3521,J,1,#6]'</f>
        <v>0</v>
      </c>
      <c r="N888" s="74">
        <f>[1]!'@CTA[8-2-7-3-5-3521,F,1,#6]'</f>
        <v>0</v>
      </c>
      <c r="O888" s="66">
        <f t="shared" si="60"/>
        <v>0</v>
      </c>
    </row>
    <row r="889" spans="1:15" ht="120" x14ac:dyDescent="0.2">
      <c r="A889" s="67" t="s">
        <v>302</v>
      </c>
      <c r="B889" s="61" t="s">
        <v>152</v>
      </c>
      <c r="C889" s="61" t="s">
        <v>149</v>
      </c>
      <c r="D889" s="62" t="s">
        <v>303</v>
      </c>
      <c r="E889" s="71" t="s">
        <v>177</v>
      </c>
      <c r="F889" s="72">
        <v>3531</v>
      </c>
      <c r="G889" s="73" t="s">
        <v>229</v>
      </c>
      <c r="H889" s="74">
        <f>[1]!'@CTA[8-2-1-3-5-3531,F,1,#6]'</f>
        <v>0</v>
      </c>
      <c r="I889" s="74">
        <f>[1]!'@CTA[8-2-3-3-5-3531,F,1,#6]'</f>
        <v>0</v>
      </c>
      <c r="J889" s="75">
        <f>[1]!'@CTA[8-2-1-3-5-3531,F,1,#6]'+[1]!'@CTA[8-2-3-3-5-3531,F,1,#6]'</f>
        <v>0</v>
      </c>
      <c r="K889" s="76">
        <f>[1]!'@CTA[8-2-4-3-5-3531,J,1,#6]'</f>
        <v>0</v>
      </c>
      <c r="L889" s="76">
        <f>[1]!'@CTA[8-2-5-3-5-3531,J,1,#6]'</f>
        <v>0</v>
      </c>
      <c r="M889" s="76">
        <f>[1]!'@CTA[8-2-6-3-5-3531,J,1,#6]'</f>
        <v>0</v>
      </c>
      <c r="N889" s="74">
        <f>[1]!'@CTA[8-2-7-3-5-3531,F,1,#6]'</f>
        <v>0</v>
      </c>
      <c r="O889" s="66">
        <f t="shared" si="60"/>
        <v>0</v>
      </c>
    </row>
    <row r="890" spans="1:15" ht="120" x14ac:dyDescent="0.2">
      <c r="A890" s="67" t="s">
        <v>302</v>
      </c>
      <c r="B890" s="61" t="s">
        <v>152</v>
      </c>
      <c r="C890" s="61" t="s">
        <v>149</v>
      </c>
      <c r="D890" s="62" t="s">
        <v>303</v>
      </c>
      <c r="E890" s="71" t="s">
        <v>177</v>
      </c>
      <c r="F890" s="72">
        <v>3551</v>
      </c>
      <c r="G890" s="73" t="s">
        <v>230</v>
      </c>
      <c r="H890" s="74">
        <f>[1]!'@CTA[8-2-1-3-5-3551,F,1,#6]'</f>
        <v>245294</v>
      </c>
      <c r="I890" s="74">
        <f>[1]!'@CTA[8-2-3-3-5-3551,F,1,#6]'</f>
        <v>0</v>
      </c>
      <c r="J890" s="75">
        <f>[1]!'@CTA[8-2-1-3-5-3551,F,1,#6]'+[1]!'@CTA[8-2-3-3-5-3551,F,1,#6]'</f>
        <v>245294</v>
      </c>
      <c r="K890" s="76">
        <f>[1]!'@CTA[8-2-4-3-5-3551,J,1,#6]'</f>
        <v>59101.53</v>
      </c>
      <c r="L890" s="76">
        <f>[1]!'@CTA[8-2-5-3-5-3551,J,1,#6]'</f>
        <v>59101.53</v>
      </c>
      <c r="M890" s="76">
        <f>[1]!'@CTA[8-2-6-3-5-3551,J,1,#6]'</f>
        <v>59101.53</v>
      </c>
      <c r="N890" s="74">
        <f>[1]!'@CTA[8-2-7-3-5-3551,F,1,#6]'</f>
        <v>59101.530000000064</v>
      </c>
      <c r="O890" s="66">
        <f t="shared" si="60"/>
        <v>186192.47</v>
      </c>
    </row>
    <row r="891" spans="1:15" ht="120" x14ac:dyDescent="0.2">
      <c r="A891" s="67" t="s">
        <v>302</v>
      </c>
      <c r="B891" s="61" t="s">
        <v>152</v>
      </c>
      <c r="C891" s="61" t="s">
        <v>149</v>
      </c>
      <c r="D891" s="62" t="s">
        <v>303</v>
      </c>
      <c r="E891" s="71" t="s">
        <v>177</v>
      </c>
      <c r="F891" s="72">
        <v>3571</v>
      </c>
      <c r="G891" s="73" t="s">
        <v>231</v>
      </c>
      <c r="H891" s="74">
        <f>[1]!'@CTA[8-2-1-3-5-3571,F,1,#6]'</f>
        <v>1565379</v>
      </c>
      <c r="I891" s="74">
        <f>[1]!'@CTA[8-2-3-3-5-3571,F,1,#6]'</f>
        <v>0</v>
      </c>
      <c r="J891" s="75">
        <f>[1]!'@CTA[8-2-1-3-5-3571,F,1,#6]'+[1]!'@CTA[8-2-3-3-5-3571,F,1,#6]'</f>
        <v>1565379</v>
      </c>
      <c r="K891" s="76">
        <f>[1]!'@CTA[8-2-4-3-5-3571,J,1,#6]'</f>
        <v>580347.06000000006</v>
      </c>
      <c r="L891" s="76">
        <f>[1]!'@CTA[8-2-5-3-5-3571,J,1,#6]'</f>
        <v>580347.06000000006</v>
      </c>
      <c r="M891" s="76">
        <f>[1]!'@CTA[8-2-6-3-5-3571,J,1,#6]'</f>
        <v>580347.06000000006</v>
      </c>
      <c r="N891" s="74">
        <f>[1]!'@CTA[8-2-7-3-5-3571,F,1,#6]'</f>
        <v>561014.31000000099</v>
      </c>
      <c r="O891" s="66">
        <f t="shared" si="60"/>
        <v>985031.94</v>
      </c>
    </row>
    <row r="892" spans="1:15" ht="120" x14ac:dyDescent="0.2">
      <c r="A892" s="67" t="s">
        <v>302</v>
      </c>
      <c r="B892" s="61" t="s">
        <v>152</v>
      </c>
      <c r="C892" s="61" t="s">
        <v>149</v>
      </c>
      <c r="D892" s="62" t="s">
        <v>303</v>
      </c>
      <c r="E892" s="71" t="s">
        <v>177</v>
      </c>
      <c r="F892" s="72">
        <v>3572</v>
      </c>
      <c r="G892" s="73" t="s">
        <v>232</v>
      </c>
      <c r="H892" s="74">
        <f>[1]!'@CTA[8-2-1-3-5-3572,F,1,#6]'</f>
        <v>0</v>
      </c>
      <c r="I892" s="74">
        <f>[1]!'@CTA[8-2-3-3-5-3572,F,1,#6]'</f>
        <v>0</v>
      </c>
      <c r="J892" s="75">
        <f>[1]!'@CTA[8-2-1-3-5-3572,F,1,#6]'+[1]!'@CTA[8-2-3-3-5-3572,F,1,#6]'</f>
        <v>0</v>
      </c>
      <c r="K892" s="76">
        <f>[1]!'@CTA[8-2-4-3-5-3572,J,1,#6]'</f>
        <v>0</v>
      </c>
      <c r="L892" s="76">
        <f>[1]!'@CTA[8-2-5-3-5-3572,J,1,#6]'</f>
        <v>0</v>
      </c>
      <c r="M892" s="76">
        <f>[1]!'@CTA[8-2-6-3-5-3572,J,1,#6]'</f>
        <v>0</v>
      </c>
      <c r="N892" s="74">
        <f>[1]!'@CTA[8-2-7-3-5-3572,F,1,#6]'</f>
        <v>0</v>
      </c>
      <c r="O892" s="66">
        <f t="shared" si="60"/>
        <v>0</v>
      </c>
    </row>
    <row r="893" spans="1:15" ht="120" x14ac:dyDescent="0.2">
      <c r="A893" s="67" t="s">
        <v>302</v>
      </c>
      <c r="B893" s="61" t="s">
        <v>152</v>
      </c>
      <c r="C893" s="61" t="s">
        <v>149</v>
      </c>
      <c r="D893" s="62" t="s">
        <v>303</v>
      </c>
      <c r="E893" s="71" t="s">
        <v>177</v>
      </c>
      <c r="F893" s="72">
        <v>3573</v>
      </c>
      <c r="G893" s="73" t="s">
        <v>233</v>
      </c>
      <c r="H893" s="74">
        <f>[1]!'@CTA[8-2-1-3-5-3573,F,1,#6]'</f>
        <v>0</v>
      </c>
      <c r="I893" s="74">
        <f>[1]!'@CTA[8-2-3-3-5-3573,F,1,#6]'</f>
        <v>0</v>
      </c>
      <c r="J893" s="75">
        <f>[1]!'@CTA[8-2-1-3-5-3573,F,1,#6]'+[1]!'@CTA[8-2-3-3-5-3573,F,1,#6]'</f>
        <v>0</v>
      </c>
      <c r="K893" s="76">
        <f>[1]!'@CTA[8-2-4-3-5-3573,J,1,#6]'</f>
        <v>0</v>
      </c>
      <c r="L893" s="76">
        <f>[1]!'@CTA[8-2-5-3-5-3573,J,1,#6]'</f>
        <v>0</v>
      </c>
      <c r="M893" s="76">
        <f>[1]!'@CTA[8-2-6-3-5-3573,J,1,#6]'</f>
        <v>0</v>
      </c>
      <c r="N893" s="74">
        <f>[1]!'@CTA[8-2-7-3-5-3573,F,1,#6]'</f>
        <v>0</v>
      </c>
      <c r="O893" s="66">
        <f t="shared" si="60"/>
        <v>0</v>
      </c>
    </row>
    <row r="894" spans="1:15" ht="120" x14ac:dyDescent="0.2">
      <c r="A894" s="67" t="s">
        <v>302</v>
      </c>
      <c r="B894" s="61" t="s">
        <v>152</v>
      </c>
      <c r="C894" s="61" t="s">
        <v>149</v>
      </c>
      <c r="D894" s="62" t="s">
        <v>303</v>
      </c>
      <c r="E894" s="71" t="s">
        <v>177</v>
      </c>
      <c r="F894" s="72">
        <v>3574</v>
      </c>
      <c r="G894" s="73" t="s">
        <v>234</v>
      </c>
      <c r="H894" s="74">
        <f>[1]!'@CTA[8-2-1-3-5-3574,F,1,#6]'</f>
        <v>0</v>
      </c>
      <c r="I894" s="74">
        <f>[1]!'@CTA[8-2-3-3-5-3574,F,1,#6]'</f>
        <v>0</v>
      </c>
      <c r="J894" s="75">
        <f>[1]!'@CTA[8-2-1-3-5-3574,F,1,#6]'+[1]!'@CTA[8-2-3-3-5-3574,F,1,#6]'</f>
        <v>0</v>
      </c>
      <c r="K894" s="76">
        <f>[1]!'@CTA[8-2-4-3-5-3574,J,1,#6]'</f>
        <v>0</v>
      </c>
      <c r="L894" s="76">
        <f>[1]!'@CTA[8-2-5-3-5-3574,J,1,#6]'</f>
        <v>0</v>
      </c>
      <c r="M894" s="76">
        <f>[1]!'@CTA[8-2-6-3-5-3574,J,1,#6]'</f>
        <v>0</v>
      </c>
      <c r="N894" s="74">
        <f>[1]!'@CTA[8-2-7-3-5-3574,F,1,#6]'</f>
        <v>0</v>
      </c>
      <c r="O894" s="66">
        <f t="shared" si="60"/>
        <v>0</v>
      </c>
    </row>
    <row r="895" spans="1:15" ht="120" x14ac:dyDescent="0.2">
      <c r="A895" s="67" t="s">
        <v>302</v>
      </c>
      <c r="B895" s="61" t="s">
        <v>152</v>
      </c>
      <c r="C895" s="61" t="s">
        <v>149</v>
      </c>
      <c r="D895" s="62" t="s">
        <v>303</v>
      </c>
      <c r="E895" s="71" t="s">
        <v>177</v>
      </c>
      <c r="F895" s="72">
        <v>3575</v>
      </c>
      <c r="G895" s="73" t="s">
        <v>235</v>
      </c>
      <c r="H895" s="74">
        <f>[1]!'@CTA[8-2-1-3-5-3575,F,1,#6]'</f>
        <v>0</v>
      </c>
      <c r="I895" s="74">
        <f>[1]!'@CTA[8-2-3-3-5-3575,F,1,#6]'</f>
        <v>0</v>
      </c>
      <c r="J895" s="75">
        <f>[1]!'@CTA[8-2-1-3-5-3575,F,1,#6]'+[1]!'@CTA[8-2-3-3-5-3575,F,1,#6]'</f>
        <v>0</v>
      </c>
      <c r="K895" s="76">
        <f>[1]!'@CTA[8-2-4-3-5-3575,J,1,#6]'</f>
        <v>0</v>
      </c>
      <c r="L895" s="76">
        <f>[1]!'@CTA[8-2-5-3-5-3575,J,1,#6]'</f>
        <v>0</v>
      </c>
      <c r="M895" s="76">
        <f>[1]!'@CTA[8-2-6-3-5-3575,J,1,#6]'</f>
        <v>0</v>
      </c>
      <c r="N895" s="74">
        <f>[1]!'@CTA[8-2-7-3-5-3575,F,1,#6]'</f>
        <v>0</v>
      </c>
      <c r="O895" s="66">
        <f t="shared" si="60"/>
        <v>0</v>
      </c>
    </row>
    <row r="896" spans="1:15" ht="120" x14ac:dyDescent="0.2">
      <c r="A896" s="67" t="s">
        <v>302</v>
      </c>
      <c r="B896" s="61" t="s">
        <v>152</v>
      </c>
      <c r="C896" s="61" t="s">
        <v>149</v>
      </c>
      <c r="D896" s="62" t="s">
        <v>303</v>
      </c>
      <c r="E896" s="71" t="s">
        <v>177</v>
      </c>
      <c r="F896" s="72">
        <v>3576</v>
      </c>
      <c r="G896" s="73" t="s">
        <v>236</v>
      </c>
      <c r="H896" s="74">
        <f>[1]!'@CTA[8-2-1-3-5-3576,F,1,#6]'</f>
        <v>0</v>
      </c>
      <c r="I896" s="74">
        <f>[1]!'@CTA[8-2-3-3-5-3576,F,1,#6]'</f>
        <v>0</v>
      </c>
      <c r="J896" s="75">
        <f>[1]!'@CTA[8-2-1-3-5-3576,F,1,#6]'+[1]!'@CTA[8-2-3-3-5-3576,F,1,#6]'</f>
        <v>0</v>
      </c>
      <c r="K896" s="76">
        <f>[1]!'@CTA[8-2-4-3-5-3576,J,1,#6]'</f>
        <v>0</v>
      </c>
      <c r="L896" s="76">
        <f>[1]!'@CTA[8-2-5-3-5-3576,J,1,#6]'</f>
        <v>0</v>
      </c>
      <c r="M896" s="76">
        <f>[1]!'@CTA[8-2-6-3-5-3576,J,1,#6]'</f>
        <v>0</v>
      </c>
      <c r="N896" s="74">
        <f>[1]!'@CTA[8-2-7-3-5-3576,F,1,#6]'</f>
        <v>0</v>
      </c>
      <c r="O896" s="66">
        <f t="shared" si="60"/>
        <v>0</v>
      </c>
    </row>
    <row r="897" spans="1:15" ht="120" x14ac:dyDescent="0.2">
      <c r="A897" s="67" t="s">
        <v>302</v>
      </c>
      <c r="B897" s="61" t="s">
        <v>152</v>
      </c>
      <c r="C897" s="61" t="s">
        <v>149</v>
      </c>
      <c r="D897" s="62" t="s">
        <v>303</v>
      </c>
      <c r="E897" s="71" t="s">
        <v>177</v>
      </c>
      <c r="F897" s="72">
        <v>3577</v>
      </c>
      <c r="G897" s="73" t="s">
        <v>237</v>
      </c>
      <c r="H897" s="74">
        <f>[1]!'@CTA[8-2-1-3-5-3577,F,1,#6]'</f>
        <v>0</v>
      </c>
      <c r="I897" s="74">
        <f>[1]!'@CTA[8-2-3-3-5-3577,F,1,#6]'</f>
        <v>0</v>
      </c>
      <c r="J897" s="75">
        <f>[1]!'@CTA[8-2-1-3-5-3577,F,1,#6]'+[1]!'@CTA[8-2-3-3-5-3577,F,1,#6]'</f>
        <v>0</v>
      </c>
      <c r="K897" s="76">
        <f>[1]!'@CTA[8-2-4-3-5-3577,J,1,#6]'</f>
        <v>0</v>
      </c>
      <c r="L897" s="76">
        <f>[1]!'@CTA[8-2-5-3-5-3577,J,1,#6]'</f>
        <v>0</v>
      </c>
      <c r="M897" s="76">
        <f>[1]!'@CTA[8-2-6-3-5-3577,J,1,#6]'</f>
        <v>0</v>
      </c>
      <c r="N897" s="74">
        <f>[1]!'@CTA[8-2-7-3-5-3577,F,1,#6]'</f>
        <v>0</v>
      </c>
      <c r="O897" s="66">
        <f t="shared" si="60"/>
        <v>0</v>
      </c>
    </row>
    <row r="898" spans="1:15" ht="120" x14ac:dyDescent="0.2">
      <c r="A898" s="67" t="s">
        <v>302</v>
      </c>
      <c r="B898" s="61" t="s">
        <v>152</v>
      </c>
      <c r="C898" s="61" t="s">
        <v>149</v>
      </c>
      <c r="D898" s="62" t="s">
        <v>303</v>
      </c>
      <c r="E898" s="71" t="s">
        <v>177</v>
      </c>
      <c r="F898" s="72">
        <v>3611</v>
      </c>
      <c r="G898" s="73" t="s">
        <v>238</v>
      </c>
      <c r="H898" s="74">
        <f>[1]!'@CTA[8-2-1-3-6-3611,F,1,#6]'</f>
        <v>0</v>
      </c>
      <c r="I898" s="74">
        <f>[1]!'@CTA[8-2-3-3-6-3611,F,1,#6]'</f>
        <v>0</v>
      </c>
      <c r="J898" s="75">
        <f>[1]!'@CTA[8-2-1-3-6-3611,F,1,#6]'+[1]!'@CTA[8-2-3-3-6-3611,F,1,#6]'</f>
        <v>0</v>
      </c>
      <c r="K898" s="76">
        <f>[1]!'@CTA[8-2-4-3-6-3611,J,1,#6]'</f>
        <v>0</v>
      </c>
      <c r="L898" s="76">
        <f>[1]!'@CTA[8-2-5-3-6-3611,J,1,#6]'</f>
        <v>0</v>
      </c>
      <c r="M898" s="76">
        <f>[1]!'@CTA[8-2-6-3-6-3611,J,1,#6]'</f>
        <v>0</v>
      </c>
      <c r="N898" s="74">
        <f>[1]!'@CTA[8-2-7-3-6-3611,F,1,#6]'</f>
        <v>0</v>
      </c>
      <c r="O898" s="66">
        <f t="shared" si="60"/>
        <v>0</v>
      </c>
    </row>
    <row r="899" spans="1:15" ht="120" x14ac:dyDescent="0.2">
      <c r="A899" s="67" t="s">
        <v>302</v>
      </c>
      <c r="B899" s="61" t="s">
        <v>152</v>
      </c>
      <c r="C899" s="61" t="s">
        <v>149</v>
      </c>
      <c r="D899" s="62" t="s">
        <v>303</v>
      </c>
      <c r="E899" s="71" t="s">
        <v>177</v>
      </c>
      <c r="F899" s="72">
        <v>3721</v>
      </c>
      <c r="G899" s="73" t="s">
        <v>239</v>
      </c>
      <c r="H899" s="74">
        <f>[1]!'@CTA[8-2-1-3-7-3721,F,1,#6]'</f>
        <v>900</v>
      </c>
      <c r="I899" s="74">
        <f>[1]!'@CTA[8-2-3-3-7-3721,F,1,#6]'</f>
        <v>9.0949470177292824E-13</v>
      </c>
      <c r="J899" s="75">
        <f>[1]!'@CTA[8-2-1-3-7-3721,F,1,#6]'+[1]!'@CTA[8-2-3-3-7-3721,F,1,#6]'</f>
        <v>900.00000000000091</v>
      </c>
      <c r="K899" s="76">
        <f>[1]!'@CTA[8-2-4-3-7-3721,J,1,#6]'</f>
        <v>0</v>
      </c>
      <c r="L899" s="76">
        <f>[1]!'@CTA[8-2-5-3-7-3721,J,1,#6]'</f>
        <v>0</v>
      </c>
      <c r="M899" s="76">
        <f>[1]!'@CTA[8-2-6-3-7-3721,J,1,#6]'</f>
        <v>0</v>
      </c>
      <c r="N899" s="74">
        <f>[1]!'@CTA[8-2-7-3-7-3721,F,1,#6]'</f>
        <v>0</v>
      </c>
      <c r="O899" s="66">
        <f t="shared" si="60"/>
        <v>900.00000000000091</v>
      </c>
    </row>
    <row r="900" spans="1:15" ht="120" x14ac:dyDescent="0.2">
      <c r="A900" s="67" t="s">
        <v>302</v>
      </c>
      <c r="B900" s="61" t="s">
        <v>152</v>
      </c>
      <c r="C900" s="61" t="s">
        <v>149</v>
      </c>
      <c r="D900" s="62" t="s">
        <v>303</v>
      </c>
      <c r="E900" s="71" t="s">
        <v>177</v>
      </c>
      <c r="F900" s="72">
        <v>3722</v>
      </c>
      <c r="G900" s="73" t="s">
        <v>240</v>
      </c>
      <c r="H900" s="74">
        <f>[1]!'@CTA[8-2-1-3-7-3722,F,1,#6]'</f>
        <v>0</v>
      </c>
      <c r="I900" s="74">
        <f>[1]!'@CTA[8-2-3-3-7-3722,F,1,#6]'</f>
        <v>0</v>
      </c>
      <c r="J900" s="75">
        <f>[1]!'@CTA[8-2-1-3-7-3722,F,1,#6]'+[1]!'@CTA[8-2-3-3-7-3722,F,1,#6]'</f>
        <v>0</v>
      </c>
      <c r="K900" s="76">
        <f>[1]!'@CTA[8-2-4-3-7-3722,J,1,#6]'</f>
        <v>0</v>
      </c>
      <c r="L900" s="76">
        <f>[1]!'@CTA[8-2-5-3-7-3722,J,1,#6]'</f>
        <v>0</v>
      </c>
      <c r="M900" s="76">
        <f>[1]!'@CTA[8-2-6-3-7-3722,J,1,#6]'</f>
        <v>0</v>
      </c>
      <c r="N900" s="74">
        <f>[1]!'@CTA[8-2-7-3-7-3722,F,1,#6]'</f>
        <v>0</v>
      </c>
      <c r="O900" s="66">
        <f t="shared" si="60"/>
        <v>0</v>
      </c>
    </row>
    <row r="901" spans="1:15" ht="120" x14ac:dyDescent="0.2">
      <c r="A901" s="67" t="s">
        <v>302</v>
      </c>
      <c r="B901" s="61" t="s">
        <v>152</v>
      </c>
      <c r="C901" s="61" t="s">
        <v>149</v>
      </c>
      <c r="D901" s="62" t="s">
        <v>303</v>
      </c>
      <c r="E901" s="71" t="s">
        <v>177</v>
      </c>
      <c r="F901" s="72">
        <v>3751</v>
      </c>
      <c r="G901" s="73" t="s">
        <v>241</v>
      </c>
      <c r="H901" s="74">
        <f>[1]!'@CTA[8-2-1-3-7-3751,F,1,#6]'</f>
        <v>1800</v>
      </c>
      <c r="I901" s="74">
        <f>[1]!'@CTA[8-2-3-3-7-3751,F,1,#6]'</f>
        <v>0</v>
      </c>
      <c r="J901" s="75">
        <f>[1]!'@CTA[8-2-1-3-7-3751,F,1,#6]'+[1]!'@CTA[8-2-3-3-7-3751,F,1,#6]'</f>
        <v>1800</v>
      </c>
      <c r="K901" s="76">
        <f>[1]!'@CTA[8-2-4-3-7-3751,J,1,#6]'</f>
        <v>0</v>
      </c>
      <c r="L901" s="76">
        <f>[1]!'@CTA[8-2-5-3-7-3751,J,1,#6]'</f>
        <v>0</v>
      </c>
      <c r="M901" s="76">
        <f>[1]!'@CTA[8-2-6-3-7-3751,J,1,#6]'</f>
        <v>0</v>
      </c>
      <c r="N901" s="74">
        <f>[1]!'@CTA[8-2-7-3-7-3751,F,1,#6]'</f>
        <v>0</v>
      </c>
      <c r="O901" s="66">
        <f t="shared" si="60"/>
        <v>1800</v>
      </c>
    </row>
    <row r="902" spans="1:15" ht="120" x14ac:dyDescent="0.2">
      <c r="A902" s="67" t="s">
        <v>302</v>
      </c>
      <c r="B902" s="61" t="s">
        <v>152</v>
      </c>
      <c r="C902" s="61" t="s">
        <v>149</v>
      </c>
      <c r="D902" s="62" t="s">
        <v>303</v>
      </c>
      <c r="E902" s="71" t="s">
        <v>177</v>
      </c>
      <c r="F902" s="72">
        <v>3821</v>
      </c>
      <c r="G902" s="73" t="s">
        <v>242</v>
      </c>
      <c r="H902" s="74">
        <f>[1]!'@CTA[8-2-1-3-8-3821,F,1,#6]'</f>
        <v>0</v>
      </c>
      <c r="I902" s="74">
        <f>[1]!'@CTA[8-2-3-3-8-3821,F,1,#6]'</f>
        <v>0</v>
      </c>
      <c r="J902" s="75">
        <f>[1]!'@CTA[8-2-1-3-8-3821,F,1,#6]'+[1]!'@CTA[8-2-3-3-8-3821,F,1,#6]'</f>
        <v>0</v>
      </c>
      <c r="K902" s="76">
        <f>[1]!'@CTA[8-2-4-3-8-3821,J,1,#6]'</f>
        <v>0</v>
      </c>
      <c r="L902" s="76">
        <f>[1]!'@CTA[8-2-5-3-8-3821,J,1,#6]'</f>
        <v>0</v>
      </c>
      <c r="M902" s="76">
        <f>[1]!'@CTA[8-2-6-3-8-3821,J,1,#6]'</f>
        <v>0</v>
      </c>
      <c r="N902" s="74">
        <f>[1]!'@CTA[8-2-7-3-8-3821,F,1,#6]'</f>
        <v>0</v>
      </c>
      <c r="O902" s="66">
        <f t="shared" si="60"/>
        <v>0</v>
      </c>
    </row>
    <row r="903" spans="1:15" ht="120" x14ac:dyDescent="0.2">
      <c r="A903" s="67" t="s">
        <v>302</v>
      </c>
      <c r="B903" s="61" t="s">
        <v>152</v>
      </c>
      <c r="C903" s="61" t="s">
        <v>149</v>
      </c>
      <c r="D903" s="62" t="s">
        <v>303</v>
      </c>
      <c r="E903" s="71" t="s">
        <v>177</v>
      </c>
      <c r="F903" s="72">
        <v>3822</v>
      </c>
      <c r="G903" s="73" t="s">
        <v>243</v>
      </c>
      <c r="H903" s="74">
        <f>[1]!'@CTA[8-2-1-3-8-3822,F,1,#6]'</f>
        <v>0</v>
      </c>
      <c r="I903" s="74">
        <f>[1]!'@CTA[8-2-3-3-8-3822,F,1,#6]'</f>
        <v>0</v>
      </c>
      <c r="J903" s="75">
        <f>[1]!'@CTA[8-2-1-3-8-3822,F,1,#6]'+[1]!'@CTA[8-2-3-3-8-3822,F,1,#6]'</f>
        <v>0</v>
      </c>
      <c r="K903" s="76">
        <f>[1]!'@CTA[8-2-4-3-8-3822,J,1,#6]'</f>
        <v>0</v>
      </c>
      <c r="L903" s="76">
        <f>[1]!'@CTA[8-2-5-3-8-3822,J,1,#6]'</f>
        <v>0</v>
      </c>
      <c r="M903" s="76">
        <f>[1]!'@CTA[8-2-6-3-8-3822,J,1,#6]'</f>
        <v>0</v>
      </c>
      <c r="N903" s="74">
        <f>[1]!'@CTA[8-2-7-3-8-3822,F,1,#6]'</f>
        <v>0</v>
      </c>
      <c r="O903" s="66">
        <f t="shared" si="60"/>
        <v>0</v>
      </c>
    </row>
    <row r="904" spans="1:15" ht="120" x14ac:dyDescent="0.2">
      <c r="A904" s="67" t="s">
        <v>302</v>
      </c>
      <c r="B904" s="61" t="s">
        <v>152</v>
      </c>
      <c r="C904" s="61" t="s">
        <v>149</v>
      </c>
      <c r="D904" s="62" t="s">
        <v>303</v>
      </c>
      <c r="E904" s="71" t="s">
        <v>177</v>
      </c>
      <c r="F904" s="72">
        <v>3831</v>
      </c>
      <c r="G904" s="73" t="s">
        <v>244</v>
      </c>
      <c r="H904" s="74">
        <f>[1]!'@CTA[8-2-1-3-8-3831,F,1,#6]'</f>
        <v>0</v>
      </c>
      <c r="I904" s="74">
        <f>[1]!'@CTA[8-2-3-3-8-3831,F,1,#6]'</f>
        <v>0</v>
      </c>
      <c r="J904" s="75">
        <f>[1]!'@CTA[8-2-1-3-8-3831,F,1,#6]'+[1]!'@CTA[8-2-3-3-8-3831,F,1,#6]'</f>
        <v>0</v>
      </c>
      <c r="K904" s="76">
        <f>[1]!'@CTA[8-2-4-3-8-3831,J,1,#6]'</f>
        <v>0</v>
      </c>
      <c r="L904" s="76">
        <f>[1]!'@CTA[8-2-5-3-8-3831,J,1,#6]'</f>
        <v>0</v>
      </c>
      <c r="M904" s="76">
        <f>[1]!'@CTA[8-2-6-3-8-3831,J,1,#6]'</f>
        <v>0</v>
      </c>
      <c r="N904" s="74">
        <f>[1]!'@CTA[8-2-7-3-8-3831,F,1,#6]'</f>
        <v>0</v>
      </c>
      <c r="O904" s="66">
        <f t="shared" si="60"/>
        <v>0</v>
      </c>
    </row>
    <row r="905" spans="1:15" ht="120" x14ac:dyDescent="0.2">
      <c r="A905" s="67" t="s">
        <v>302</v>
      </c>
      <c r="B905" s="61" t="s">
        <v>152</v>
      </c>
      <c r="C905" s="61" t="s">
        <v>149</v>
      </c>
      <c r="D905" s="62" t="s">
        <v>303</v>
      </c>
      <c r="E905" s="71" t="s">
        <v>177</v>
      </c>
      <c r="F905" s="72">
        <v>3851</v>
      </c>
      <c r="G905" s="73" t="s">
        <v>245</v>
      </c>
      <c r="H905" s="74">
        <f>[1]!'@CTA[8-2-1-3-8-3851,F,1,#6]'</f>
        <v>0</v>
      </c>
      <c r="I905" s="74">
        <f>[1]!'@CTA[8-2-3-3-8-3851,F,1,#6]'</f>
        <v>0</v>
      </c>
      <c r="J905" s="75">
        <f>[1]!'@CTA[8-2-1-3-8-3851,F,1,#6]'+[1]!'@CTA[8-2-3-3-8-3851,F,1,#6]'</f>
        <v>0</v>
      </c>
      <c r="K905" s="76">
        <f>[1]!'@CTA[8-2-4-3-8-3851,J,1,#6]'</f>
        <v>0</v>
      </c>
      <c r="L905" s="76">
        <f>[1]!'@CTA[8-2-5-3-8-3851,J,1,#6]'</f>
        <v>0</v>
      </c>
      <c r="M905" s="76">
        <f>[1]!'@CTA[8-2-6-3-8-3851,J,1,#6]'</f>
        <v>0</v>
      </c>
      <c r="N905" s="74">
        <f>[1]!'@CTA[8-2-7-3-8-3851,F,1,#6]'</f>
        <v>0</v>
      </c>
      <c r="O905" s="66">
        <f t="shared" ref="O905:O969" si="62">J905-L905</f>
        <v>0</v>
      </c>
    </row>
    <row r="906" spans="1:15" ht="120" x14ac:dyDescent="0.2">
      <c r="A906" s="67" t="s">
        <v>302</v>
      </c>
      <c r="B906" s="61" t="s">
        <v>152</v>
      </c>
      <c r="C906" s="61" t="s">
        <v>149</v>
      </c>
      <c r="D906" s="62" t="s">
        <v>303</v>
      </c>
      <c r="E906" s="71" t="s">
        <v>177</v>
      </c>
      <c r="F906" s="72">
        <v>3921</v>
      </c>
      <c r="G906" s="73" t="s">
        <v>246</v>
      </c>
      <c r="H906" s="74">
        <f>[1]!'@CTA[8-2-1-3-9-3921,F,1,#6]'</f>
        <v>2016000</v>
      </c>
      <c r="I906" s="74">
        <f>[1]!'@CTA[8-2-3-3-9-3921,F,1,#6]'</f>
        <v>0</v>
      </c>
      <c r="J906" s="75">
        <f>[1]!'@CTA[8-2-1-3-9-3921,F,1,#6]'+[1]!'@CTA[8-2-3-3-9-3921,F,1,#6]'</f>
        <v>2016000</v>
      </c>
      <c r="K906" s="76">
        <f>[1]!'@CTA[8-2-4-3-9-3921,J,1,#6]'</f>
        <v>417109</v>
      </c>
      <c r="L906" s="76">
        <f>[1]!'@CTA[8-2-5-3-9-3921,J,1,#6]'</f>
        <v>417109</v>
      </c>
      <c r="M906" s="76">
        <f>[1]!'@CTA[8-2-6-3-9-3921,J,1,#6]'</f>
        <v>417109</v>
      </c>
      <c r="N906" s="74">
        <f>[1]!'@CTA[8-2-7-3-9-3921,F,1,#6]'</f>
        <v>417109</v>
      </c>
      <c r="O906" s="66">
        <f t="shared" si="62"/>
        <v>1598891</v>
      </c>
    </row>
    <row r="907" spans="1:15" ht="120" x14ac:dyDescent="0.2">
      <c r="A907" s="67" t="s">
        <v>302</v>
      </c>
      <c r="B907" s="61" t="s">
        <v>152</v>
      </c>
      <c r="C907" s="61" t="s">
        <v>149</v>
      </c>
      <c r="D907" s="62" t="s">
        <v>303</v>
      </c>
      <c r="E907" s="71" t="s">
        <v>177</v>
      </c>
      <c r="F907" s="72">
        <v>3922</v>
      </c>
      <c r="G907" s="73" t="s">
        <v>247</v>
      </c>
      <c r="H907" s="74">
        <f>[1]!'@CTA[8-2-1-3-9-3922,F,1,#6]'</f>
        <v>0</v>
      </c>
      <c r="I907" s="74">
        <f>[1]!'@CTA[8-2-3-3-9-3922,F,1,#6]'</f>
        <v>0</v>
      </c>
      <c r="J907" s="75">
        <f>[1]!'@CTA[8-2-1-3-9-3922,F,1,#6]'+[1]!'@CTA[8-2-3-3-9-3922,F,1,#6]'</f>
        <v>0</v>
      </c>
      <c r="K907" s="76">
        <f>[1]!'@CTA[8-2-4-3-9-3922,J,1,#6]'</f>
        <v>0</v>
      </c>
      <c r="L907" s="76">
        <f>[1]!'@CTA[8-2-5-3-9-3922,J,1,#6]'</f>
        <v>0</v>
      </c>
      <c r="M907" s="76">
        <f>[1]!'@CTA[8-2-6-3-9-3922,J,1,#6]'</f>
        <v>0</v>
      </c>
      <c r="N907" s="74">
        <f>[1]!'@CTA[8-2-7-3-9-3922,F,1,#6]'</f>
        <v>0</v>
      </c>
      <c r="O907" s="66">
        <f t="shared" si="62"/>
        <v>0</v>
      </c>
    </row>
    <row r="908" spans="1:15" ht="120" x14ac:dyDescent="0.2">
      <c r="A908" s="67" t="s">
        <v>302</v>
      </c>
      <c r="B908" s="61" t="s">
        <v>152</v>
      </c>
      <c r="C908" s="61" t="s">
        <v>149</v>
      </c>
      <c r="D908" s="62" t="s">
        <v>303</v>
      </c>
      <c r="E908" s="71" t="s">
        <v>177</v>
      </c>
      <c r="F908" s="72">
        <v>3923</v>
      </c>
      <c r="G908" s="73" t="s">
        <v>248</v>
      </c>
      <c r="H908" s="74">
        <f>[1]!'@CTA[8-2-1-3-9-3923,F,1,#6]'</f>
        <v>3803</v>
      </c>
      <c r="I908" s="74">
        <f>[1]!'@CTA[8-2-3-3-9-3923,F,1,#6]'</f>
        <v>0</v>
      </c>
      <c r="J908" s="75">
        <f>[1]!'@CTA[8-2-1-3-9-3923,F,1,#6]'+[1]!'@CTA[8-2-3-3-9-3923,F,1,#6]'</f>
        <v>3803</v>
      </c>
      <c r="K908" s="76">
        <f>[1]!'@CTA[8-2-4-3-9-3923,J,1,#6]'</f>
        <v>3686</v>
      </c>
      <c r="L908" s="76">
        <f>[1]!'@CTA[8-2-5-3-9-3923,J,1,#6]'</f>
        <v>3686</v>
      </c>
      <c r="M908" s="76">
        <f>[1]!'@CTA[8-2-6-3-9-3923,J,1,#6]'</f>
        <v>3686</v>
      </c>
      <c r="N908" s="74">
        <f>[1]!'@CTA[8-2-7-3-9-3923,F,1,#6]'</f>
        <v>3686</v>
      </c>
      <c r="O908" s="66">
        <f t="shared" si="62"/>
        <v>117</v>
      </c>
    </row>
    <row r="909" spans="1:15" ht="120" x14ac:dyDescent="0.2">
      <c r="A909" s="67" t="s">
        <v>302</v>
      </c>
      <c r="B909" s="61" t="s">
        <v>152</v>
      </c>
      <c r="C909" s="61" t="s">
        <v>149</v>
      </c>
      <c r="D909" s="62" t="s">
        <v>303</v>
      </c>
      <c r="E909" s="71" t="s">
        <v>177</v>
      </c>
      <c r="F909" s="72">
        <v>3924</v>
      </c>
      <c r="G909" s="73" t="s">
        <v>249</v>
      </c>
      <c r="H909" s="74">
        <f>[1]!'@CTA[8-2-1-3-9-3924,F,1,#6]'</f>
        <v>4604</v>
      </c>
      <c r="I909" s="74">
        <f>[1]!'@CTA[8-2-3-3-9-3924,F,1,#6]'</f>
        <v>0</v>
      </c>
      <c r="J909" s="75">
        <f>[1]!'@CTA[8-2-1-3-9-3924,F,1,#6]'+[1]!'@CTA[8-2-3-3-9-3924,F,1,#6]'</f>
        <v>4604</v>
      </c>
      <c r="K909" s="76">
        <f>[1]!'@CTA[8-2-4-3-9-3924,J,1,#6]'</f>
        <v>4691.2299999999996</v>
      </c>
      <c r="L909" s="76">
        <f>[1]!'@CTA[8-2-5-3-9-3924,J,1,#6]'</f>
        <v>4691.2299999999996</v>
      </c>
      <c r="M909" s="76">
        <f>[1]!'@CTA[8-2-6-3-9-3924,J,1,#6]'</f>
        <v>4691.2299999999996</v>
      </c>
      <c r="N909" s="74">
        <f>[1]!'@CTA[8-2-7-3-9-3924,F,1,#6]'</f>
        <v>4691.2299999999996</v>
      </c>
      <c r="O909" s="66">
        <f t="shared" si="62"/>
        <v>-87.229999999999563</v>
      </c>
    </row>
    <row r="910" spans="1:15" ht="120" x14ac:dyDescent="0.2">
      <c r="A910" s="67" t="s">
        <v>302</v>
      </c>
      <c r="B910" s="61" t="s">
        <v>152</v>
      </c>
      <c r="C910" s="61" t="s">
        <v>149</v>
      </c>
      <c r="D910" s="62" t="s">
        <v>303</v>
      </c>
      <c r="E910" s="71" t="s">
        <v>177</v>
      </c>
      <c r="F910" s="72">
        <v>3925</v>
      </c>
      <c r="G910" s="73" t="s">
        <v>250</v>
      </c>
      <c r="H910" s="74">
        <f>[1]!'@CTA[8-2-1-3-9-3925,F,1,#6]'</f>
        <v>9070</v>
      </c>
      <c r="I910" s="74">
        <f>[1]!'@CTA[8-2-3-3-9-3925,F,1,#6]'</f>
        <v>0</v>
      </c>
      <c r="J910" s="75">
        <f>[1]!'@CTA[8-2-1-3-9-3925,F,1,#6]'+[1]!'@CTA[8-2-3-3-9-3925,F,1,#6]'</f>
        <v>9070</v>
      </c>
      <c r="K910" s="76">
        <f>[1]!'@CTA[8-2-4-3-9-3925,J,1,#6]'</f>
        <v>3163.51</v>
      </c>
      <c r="L910" s="76">
        <f>[1]!'@CTA[8-2-5-3-9-3925,J,1,#6]'</f>
        <v>3163.51</v>
      </c>
      <c r="M910" s="76">
        <f>[1]!'@CTA[8-2-6-3-9-3925,J,1,#6]'</f>
        <v>3163.51</v>
      </c>
      <c r="N910" s="74">
        <f>[1]!'@CTA[8-2-7-3-9-3925,F,1,#6]'</f>
        <v>3163.5100000000066</v>
      </c>
      <c r="O910" s="66">
        <f t="shared" si="62"/>
        <v>5906.49</v>
      </c>
    </row>
    <row r="911" spans="1:15" ht="120" x14ac:dyDescent="0.2">
      <c r="A911" s="67" t="s">
        <v>302</v>
      </c>
      <c r="B911" s="61" t="s">
        <v>152</v>
      </c>
      <c r="C911" s="61" t="s">
        <v>149</v>
      </c>
      <c r="D911" s="62" t="s">
        <v>303</v>
      </c>
      <c r="E911" s="71" t="s">
        <v>177</v>
      </c>
      <c r="F911" s="72">
        <v>3926</v>
      </c>
      <c r="G911" s="73" t="s">
        <v>251</v>
      </c>
      <c r="H911" s="74">
        <f>[1]!'@CTA[8-2-1-3-9-3926,F,1,#6]'</f>
        <v>0</v>
      </c>
      <c r="I911" s="74">
        <f>[1]!'@CTA[8-2-3-3-9-3926,F,1,#6]'</f>
        <v>0</v>
      </c>
      <c r="J911" s="75">
        <f>[1]!'@CTA[8-2-1-3-9-3926,F,1,#6]'+[1]!'@CTA[8-2-3-3-9-3926,F,1,#6]'</f>
        <v>0</v>
      </c>
      <c r="K911" s="76">
        <f>[1]!'@CTA[8-2-4-3-9-3926,J,1,#6]'</f>
        <v>0</v>
      </c>
      <c r="L911" s="76">
        <f>[1]!'@CTA[8-2-5-3-9-3926,J,1,#6]'</f>
        <v>0</v>
      </c>
      <c r="M911" s="76">
        <f>[1]!'@CTA[8-2-6-3-9-3926,J,1,#6]'</f>
        <v>0</v>
      </c>
      <c r="N911" s="74">
        <f>[1]!'@CTA[8-2-7-3-9-3926,F,1,#6]'</f>
        <v>0</v>
      </c>
      <c r="O911" s="66">
        <f t="shared" si="62"/>
        <v>0</v>
      </c>
    </row>
    <row r="912" spans="1:15" ht="120" x14ac:dyDescent="0.2">
      <c r="A912" s="67" t="s">
        <v>302</v>
      </c>
      <c r="B912" s="61" t="s">
        <v>152</v>
      </c>
      <c r="C912" s="61" t="s">
        <v>149</v>
      </c>
      <c r="D912" s="62" t="s">
        <v>303</v>
      </c>
      <c r="E912" s="71" t="s">
        <v>177</v>
      </c>
      <c r="F912" s="72">
        <v>3961</v>
      </c>
      <c r="G912" s="73" t="s">
        <v>252</v>
      </c>
      <c r="H912" s="74">
        <f>[1]!'@CTA[8-2-1-3-9-3961,F,1,#6]'</f>
        <v>0</v>
      </c>
      <c r="I912" s="74">
        <f>[1]!'@CTA[8-2-3-3-9-3961,F,1,#6]'</f>
        <v>0</v>
      </c>
      <c r="J912" s="75">
        <f>[1]!'@CTA[8-2-1-3-9-3961,F,1,#6]'+[1]!'@CTA[8-2-3-3-9-3961,F,1,#6]'</f>
        <v>0</v>
      </c>
      <c r="K912" s="76">
        <f>[1]!'@CTA[8-2-4-3-9-3961,J,1,#6]'</f>
        <v>0</v>
      </c>
      <c r="L912" s="76">
        <f>[1]!'@CTA[8-2-5-3-9-3961,J,1,#6]'</f>
        <v>0</v>
      </c>
      <c r="M912" s="76">
        <f>[1]!'@CTA[8-2-6-3-9-3961,J,1,#6]'</f>
        <v>0</v>
      </c>
      <c r="N912" s="74">
        <f>[1]!'@CTA[8-2-7-3-9-3961,F,1,#6]'</f>
        <v>0</v>
      </c>
      <c r="O912" s="66">
        <f t="shared" si="62"/>
        <v>0</v>
      </c>
    </row>
    <row r="913" spans="1:15" ht="120" x14ac:dyDescent="0.2">
      <c r="A913" s="67" t="s">
        <v>302</v>
      </c>
      <c r="B913" s="61" t="s">
        <v>152</v>
      </c>
      <c r="C913" s="61" t="s">
        <v>149</v>
      </c>
      <c r="D913" s="62" t="s">
        <v>303</v>
      </c>
      <c r="E913" s="71" t="s">
        <v>177</v>
      </c>
      <c r="F913" s="72">
        <v>3962</v>
      </c>
      <c r="G913" s="73" t="s">
        <v>253</v>
      </c>
      <c r="H913" s="74">
        <f>[1]!'@CTA[8-2-1-3-9-3962,F,1,#6]'</f>
        <v>0</v>
      </c>
      <c r="I913" s="74">
        <f>[1]!'@CTA[8-2-3-3-9-3962,F,1,#6]'</f>
        <v>0</v>
      </c>
      <c r="J913" s="75">
        <f>[1]!'@CTA[8-2-1-3-9-3962,F,1,#6]'+[1]!'@CTA[8-2-3-3-9-3962,F,1,#6]'</f>
        <v>0</v>
      </c>
      <c r="K913" s="76">
        <f>[1]!'@CTA[8-2-4-3-9-3962,J,1,#6]'</f>
        <v>4195.74</v>
      </c>
      <c r="L913" s="76">
        <f>[1]!'@CTA[8-2-5-3-9-3962,J,1,#6]'</f>
        <v>4195.74</v>
      </c>
      <c r="M913" s="76">
        <f>[1]!'@CTA[8-2-6-3-9-3962,J,1,#6]'</f>
        <v>4195.74</v>
      </c>
      <c r="N913" s="74">
        <f>[1]!'@CTA[8-2-7-3-9-3962,F,1,#6]'</f>
        <v>4195.7399999999989</v>
      </c>
      <c r="O913" s="66">
        <f t="shared" si="62"/>
        <v>-4195.74</v>
      </c>
    </row>
    <row r="914" spans="1:15" ht="120" x14ac:dyDescent="0.2">
      <c r="A914" s="67" t="s">
        <v>302</v>
      </c>
      <c r="B914" s="61" t="s">
        <v>152</v>
      </c>
      <c r="C914" s="61" t="s">
        <v>149</v>
      </c>
      <c r="D914" s="62" t="s">
        <v>303</v>
      </c>
      <c r="E914" s="71" t="s">
        <v>254</v>
      </c>
      <c r="F914" s="72">
        <v>3981</v>
      </c>
      <c r="G914" s="73" t="s">
        <v>255</v>
      </c>
      <c r="H914" s="74">
        <f>[1]!'@CTA[8-2-1-3-9-3981,F,1,#6]'</f>
        <v>96290</v>
      </c>
      <c r="I914" s="74">
        <f>[1]!'@CTA[8-2-3-3-9-3981,F,1,#6]'</f>
        <v>10451.66</v>
      </c>
      <c r="J914" s="75">
        <f>[1]!'@CTA[8-2-1-3-9-3981,F,1,#6]'+[1]!'@CTA[8-2-3-3-9-3981,F,1,#6]'</f>
        <v>106741.66</v>
      </c>
      <c r="K914" s="76">
        <f>[1]!'@CTA[8-2-4-3-9-3981,J,1,#6]'</f>
        <v>18618.3</v>
      </c>
      <c r="L914" s="76">
        <f>[1]!'@CTA[8-2-5-3-9-3981,J,1,#6]'</f>
        <v>18618.3</v>
      </c>
      <c r="M914" s="76">
        <f>[1]!'@CTA[8-2-6-3-9-3981,J,1,#6]'</f>
        <v>18618.3</v>
      </c>
      <c r="N914" s="74">
        <f>[1]!'@CTA[8-2-7-3-9-3981,F,1,#6]'</f>
        <v>11523.330000000007</v>
      </c>
      <c r="O914" s="66">
        <f t="shared" si="62"/>
        <v>88123.36</v>
      </c>
    </row>
    <row r="915" spans="1:15" ht="120" x14ac:dyDescent="0.2">
      <c r="A915" s="67" t="s">
        <v>302</v>
      </c>
      <c r="B915" s="61"/>
      <c r="C915" s="61" t="s">
        <v>149</v>
      </c>
      <c r="D915" s="62" t="s">
        <v>303</v>
      </c>
      <c r="E915" s="61"/>
      <c r="F915" s="63">
        <v>5000</v>
      </c>
      <c r="G915" s="77" t="s">
        <v>256</v>
      </c>
      <c r="H915" s="69">
        <f t="shared" ref="H915:N915" si="63">SUBTOTAL(9,H916:H928)</f>
        <v>86421</v>
      </c>
      <c r="I915" s="69">
        <f t="shared" si="63"/>
        <v>0</v>
      </c>
      <c r="J915" s="69">
        <f t="shared" si="63"/>
        <v>86421</v>
      </c>
      <c r="K915" s="70">
        <f t="shared" si="63"/>
        <v>22758.62</v>
      </c>
      <c r="L915" s="70">
        <f t="shared" si="63"/>
        <v>22758.62</v>
      </c>
      <c r="M915" s="70">
        <f t="shared" si="63"/>
        <v>22758.62</v>
      </c>
      <c r="N915" s="69">
        <f t="shared" si="63"/>
        <v>22758.620000000003</v>
      </c>
      <c r="O915" s="66">
        <f t="shared" si="62"/>
        <v>63662.380000000005</v>
      </c>
    </row>
    <row r="916" spans="1:15" ht="120" x14ac:dyDescent="0.2">
      <c r="A916" s="67" t="s">
        <v>302</v>
      </c>
      <c r="B916" s="61" t="s">
        <v>152</v>
      </c>
      <c r="C916" s="61" t="s">
        <v>149</v>
      </c>
      <c r="D916" s="62" t="s">
        <v>303</v>
      </c>
      <c r="E916" s="71" t="s">
        <v>257</v>
      </c>
      <c r="F916" s="72">
        <v>5111</v>
      </c>
      <c r="G916" s="73" t="s">
        <v>258</v>
      </c>
      <c r="H916" s="74">
        <f>[1]!'@CTA[8-2-1-5-1-5111,F,1,#6]'</f>
        <v>0</v>
      </c>
      <c r="I916" s="74">
        <f>[1]!'@CTA[8-2-3-5-1-5111,F,1,#6]'</f>
        <v>0</v>
      </c>
      <c r="J916" s="75">
        <f>[1]!'@CTA[8-2-1-5-1-5111,F,1,#6]'+[1]!'@CTA[8-2-3-5-1-5111,F,1,#6]'</f>
        <v>0</v>
      </c>
      <c r="K916" s="76">
        <f>[1]!'@CTA[8-2-4-5-1-5111,J,1,#6]'</f>
        <v>0</v>
      </c>
      <c r="L916" s="76">
        <f>[1]!'@CTA[8-2-5-5-1-5111,J,1,#6]'</f>
        <v>0</v>
      </c>
      <c r="M916" s="76">
        <f>[1]!'@CTA[8-2-6-5-1-5111,J,1,#6]'</f>
        <v>0</v>
      </c>
      <c r="N916" s="74">
        <f>[1]!'@CTA[8-2-7-5-1-5111,F,1,#6]'</f>
        <v>0</v>
      </c>
      <c r="O916" s="66">
        <f t="shared" si="62"/>
        <v>0</v>
      </c>
    </row>
    <row r="917" spans="1:15" ht="120" x14ac:dyDescent="0.2">
      <c r="A917" s="67" t="s">
        <v>302</v>
      </c>
      <c r="B917" s="61" t="s">
        <v>152</v>
      </c>
      <c r="C917" s="61" t="s">
        <v>149</v>
      </c>
      <c r="D917" s="62" t="s">
        <v>303</v>
      </c>
      <c r="E917" s="71" t="s">
        <v>259</v>
      </c>
      <c r="F917" s="72">
        <v>5151</v>
      </c>
      <c r="G917" s="73" t="s">
        <v>260</v>
      </c>
      <c r="H917" s="74">
        <f>[1]!'@CTA[8-2-1-5-1-5151,F,1,#6]'</f>
        <v>0</v>
      </c>
      <c r="I917" s="74">
        <f>[1]!'@CTA[8-2-3-5-1-5151,F,1,#6]'</f>
        <v>0</v>
      </c>
      <c r="J917" s="75">
        <f>[1]!'@CTA[8-2-1-5-1-5151,F,1,#6]'+[1]!'@CTA[8-2-3-5-1-5151,F,1,#6]'</f>
        <v>0</v>
      </c>
      <c r="K917" s="76">
        <f>[1]!'@CTA[8-2-4-5-1-5151,J,1,#6]'</f>
        <v>0</v>
      </c>
      <c r="L917" s="76">
        <f>[1]!'@CTA[8-2-5-5-1-5151,J,1,#6]'</f>
        <v>0</v>
      </c>
      <c r="M917" s="76">
        <f>[1]!'@CTA[8-2-6-5-1-5151,J,1,#6]'</f>
        <v>0</v>
      </c>
      <c r="N917" s="74">
        <f>[1]!'@CTA[8-2-7-5-1-5151,F,1,#6]'</f>
        <v>0</v>
      </c>
      <c r="O917" s="66">
        <f t="shared" si="62"/>
        <v>0</v>
      </c>
    </row>
    <row r="918" spans="1:15" ht="120" x14ac:dyDescent="0.2">
      <c r="A918" s="67" t="s">
        <v>302</v>
      </c>
      <c r="B918" s="61" t="s">
        <v>152</v>
      </c>
      <c r="C918" s="61" t="s">
        <v>149</v>
      </c>
      <c r="D918" s="62" t="s">
        <v>303</v>
      </c>
      <c r="E918" s="71" t="s">
        <v>259</v>
      </c>
      <c r="F918" s="72">
        <v>5152</v>
      </c>
      <c r="G918" s="73" t="s">
        <v>261</v>
      </c>
      <c r="H918" s="74">
        <f>[1]!'@CTA[8-2-1-5-1-5152,F,1,#6]'</f>
        <v>0</v>
      </c>
      <c r="I918" s="74">
        <f>[1]!'@CTA[8-2-3-5-1-5152,F,1,#6]'</f>
        <v>0</v>
      </c>
      <c r="J918" s="75">
        <f>[1]!'@CTA[8-2-1-5-1-5152,F,1,#6]'+[1]!'@CTA[8-2-3-5-1-5152,F,1,#6]'</f>
        <v>0</v>
      </c>
      <c r="K918" s="76">
        <f>[1]!'@CTA[8-2-4-5-1-5152,J,1,#6]'</f>
        <v>0</v>
      </c>
      <c r="L918" s="76">
        <f>[1]!'@CTA[8-2-5-5-1-5152,J,1,#6]'</f>
        <v>0</v>
      </c>
      <c r="M918" s="76">
        <f>[1]!'@CTA[8-2-6-5-1-5152,J,1,#6]'</f>
        <v>0</v>
      </c>
      <c r="N918" s="74">
        <f>[1]!'@CTA[8-2-7-5-1-5152,F,1,#6]'</f>
        <v>0</v>
      </c>
      <c r="O918" s="66">
        <f t="shared" si="62"/>
        <v>0</v>
      </c>
    </row>
    <row r="919" spans="1:15" ht="120" x14ac:dyDescent="0.2">
      <c r="A919" s="67" t="s">
        <v>302</v>
      </c>
      <c r="B919" s="61" t="s">
        <v>152</v>
      </c>
      <c r="C919" s="61" t="s">
        <v>149</v>
      </c>
      <c r="D919" s="62" t="s">
        <v>303</v>
      </c>
      <c r="E919" s="71" t="s">
        <v>259</v>
      </c>
      <c r="F919" s="72">
        <v>5153</v>
      </c>
      <c r="G919" s="73" t="s">
        <v>262</v>
      </c>
      <c r="H919" s="74">
        <f>[1]!'@CTA[8-2-1-5-1-5153,F,1,#6]'</f>
        <v>0</v>
      </c>
      <c r="I919" s="74">
        <f>[1]!'@CTA[8-2-3-5-1-5153,F,1,#6]'</f>
        <v>0</v>
      </c>
      <c r="J919" s="75">
        <f>[1]!'@CTA[8-2-1-5-1-5153,F,1,#6]'+[1]!'@CTA[8-2-3-5-1-5153,F,1,#6]'</f>
        <v>0</v>
      </c>
      <c r="K919" s="76">
        <f>[1]!'@CTA[8-2-4-5-1-5153,J,1,#6]'</f>
        <v>0</v>
      </c>
      <c r="L919" s="76">
        <f>[1]!'@CTA[8-2-5-5-1-5153,J,1,#6]'</f>
        <v>0</v>
      </c>
      <c r="M919" s="76">
        <f>[1]!'@CTA[8-2-6-5-1-5153,J,1,#6]'</f>
        <v>0</v>
      </c>
      <c r="N919" s="74">
        <f>[1]!'@CTA[8-2-7-5-1-5153,F,1,#6]'</f>
        <v>0</v>
      </c>
      <c r="O919" s="66">
        <f t="shared" si="62"/>
        <v>0</v>
      </c>
    </row>
    <row r="920" spans="1:15" ht="120" x14ac:dyDescent="0.2">
      <c r="A920" s="67" t="s">
        <v>302</v>
      </c>
      <c r="B920" s="61" t="s">
        <v>152</v>
      </c>
      <c r="C920" s="61" t="s">
        <v>149</v>
      </c>
      <c r="D920" s="62" t="s">
        <v>303</v>
      </c>
      <c r="E920" s="71" t="s">
        <v>257</v>
      </c>
      <c r="F920" s="72">
        <v>5231</v>
      </c>
      <c r="G920" s="73" t="s">
        <v>263</v>
      </c>
      <c r="H920" s="74">
        <f>[1]!'@CTA[8-2-1-5-2-5231,F,1,#6]'</f>
        <v>2200</v>
      </c>
      <c r="I920" s="74">
        <f>[1]!'@CTA[8-2-3-5-2-5231,F,1,#6]'</f>
        <v>0</v>
      </c>
      <c r="J920" s="75">
        <f>[1]!'@CTA[8-2-1-5-2-5231,F,1,#6]'+[1]!'@CTA[8-2-3-5-2-5231,F,1,#6]'</f>
        <v>2200</v>
      </c>
      <c r="K920" s="76">
        <f>[1]!'@CTA[8-2-4-5-2-5231,J,1,#6]'</f>
        <v>0</v>
      </c>
      <c r="L920" s="76">
        <f>[1]!'@CTA[8-2-5-5-2-5231,J,1,#6]'</f>
        <v>0</v>
      </c>
      <c r="M920" s="76">
        <f>[1]!'@CTA[8-2-6-5-2-5231,J,1,#6]'</f>
        <v>0</v>
      </c>
      <c r="N920" s="74">
        <f>[1]!'@CTA[8-2-7-5-2-5231,F,1,#6]'</f>
        <v>0</v>
      </c>
      <c r="O920" s="66">
        <f t="shared" si="62"/>
        <v>2200</v>
      </c>
    </row>
    <row r="921" spans="1:15" ht="120" x14ac:dyDescent="0.2">
      <c r="A921" s="67" t="s">
        <v>302</v>
      </c>
      <c r="B921" s="61" t="s">
        <v>152</v>
      </c>
      <c r="C921" s="61" t="s">
        <v>149</v>
      </c>
      <c r="D921" s="62" t="s">
        <v>303</v>
      </c>
      <c r="E921" s="71" t="s">
        <v>264</v>
      </c>
      <c r="F921" s="72">
        <v>5411</v>
      </c>
      <c r="G921" s="73" t="s">
        <v>265</v>
      </c>
      <c r="H921" s="74">
        <f>[1]!'@CTA[8-2-1-5-4-5411,F,1,#6]'</f>
        <v>0</v>
      </c>
      <c r="I921" s="74">
        <f>[1]!'@CTA[8-2-3-5-4-5411,F,1,#6]'</f>
        <v>0</v>
      </c>
      <c r="J921" s="75">
        <f>[1]!'@CTA[8-2-1-5-4-5411,F,1,#6]'+[1]!'@CTA[8-2-3-5-4-5411,F,1,#6]'</f>
        <v>0</v>
      </c>
      <c r="K921" s="76">
        <f>[1]!'@CTA[8-2-4-5-4-5411,J,1,#6]'</f>
        <v>0</v>
      </c>
      <c r="L921" s="76">
        <f>[1]!'@CTA[8-2-5-5-4-5411,J,1,#6]'</f>
        <v>0</v>
      </c>
      <c r="M921" s="76">
        <f>[1]!'@CTA[8-2-6-5-4-5411,J,1,#6]'</f>
        <v>0</v>
      </c>
      <c r="N921" s="74">
        <f>[1]!'@CTA[8-2-7-5-4-5411,F,1,#6]'</f>
        <v>0</v>
      </c>
      <c r="O921" s="66">
        <f t="shared" si="62"/>
        <v>0</v>
      </c>
    </row>
    <row r="922" spans="1:15" ht="120" x14ac:dyDescent="0.2">
      <c r="A922" s="67" t="s">
        <v>302</v>
      </c>
      <c r="B922" s="61" t="s">
        <v>152</v>
      </c>
      <c r="C922" s="61" t="s">
        <v>149</v>
      </c>
      <c r="D922" s="62" t="s">
        <v>303</v>
      </c>
      <c r="E922" s="71" t="s">
        <v>264</v>
      </c>
      <c r="F922" s="72">
        <v>5491</v>
      </c>
      <c r="G922" s="73" t="s">
        <v>266</v>
      </c>
      <c r="H922" s="74">
        <f>[1]!'@CTA[8-2-1-5-4-5491,F,1,#6]'</f>
        <v>19500</v>
      </c>
      <c r="I922" s="74">
        <f>[1]!'@CTA[8-2-3-5-4-5491,F,1,#6]'</f>
        <v>0</v>
      </c>
      <c r="J922" s="75">
        <f>[1]!'@CTA[8-2-1-5-4-5491,F,1,#6]'+[1]!'@CTA[8-2-3-5-4-5491,F,1,#6]'</f>
        <v>19500</v>
      </c>
      <c r="K922" s="76">
        <f>[1]!'@CTA[8-2-4-5-4-5491,J,1,#6]'</f>
        <v>22758.62</v>
      </c>
      <c r="L922" s="76">
        <f>[1]!'@CTA[8-2-5-5-4-5491,J,1,#6]'</f>
        <v>22758.62</v>
      </c>
      <c r="M922" s="76">
        <f>[1]!'@CTA[8-2-6-5-4-5491,J,1,#6]'</f>
        <v>22758.62</v>
      </c>
      <c r="N922" s="74">
        <f>[1]!'@CTA[8-2-7-5-4-5491,F,1,#6]'</f>
        <v>22758.620000000003</v>
      </c>
      <c r="O922" s="66">
        <f t="shared" si="62"/>
        <v>-3258.619999999999</v>
      </c>
    </row>
    <row r="923" spans="1:15" ht="120" x14ac:dyDescent="0.2">
      <c r="A923" s="67" t="s">
        <v>302</v>
      </c>
      <c r="B923" s="61" t="s">
        <v>152</v>
      </c>
      <c r="C923" s="61" t="s">
        <v>149</v>
      </c>
      <c r="D923" s="62" t="s">
        <v>303</v>
      </c>
      <c r="E923" s="71" t="s">
        <v>257</v>
      </c>
      <c r="F923" s="72">
        <v>5631</v>
      </c>
      <c r="G923" s="73" t="s">
        <v>267</v>
      </c>
      <c r="H923" s="74">
        <f>[1]!'@CTA[8-2-1-5-6-5631,F,1,#6]'</f>
        <v>44304</v>
      </c>
      <c r="I923" s="74">
        <f>[1]!'@CTA[8-2-3-5-6-5631,F,1,#6]'</f>
        <v>0</v>
      </c>
      <c r="J923" s="75">
        <f>[1]!'@CTA[8-2-1-5-6-5631,F,1,#6]'+[1]!'@CTA[8-2-3-5-6-5631,F,1,#6]'</f>
        <v>44304</v>
      </c>
      <c r="K923" s="76">
        <f>[1]!'@CTA[8-2-4-5-6-5631,J,1,#6]'</f>
        <v>0</v>
      </c>
      <c r="L923" s="76">
        <f>[1]!'@CTA[8-2-5-5-6-5631,J,1,#6]'</f>
        <v>0</v>
      </c>
      <c r="M923" s="76">
        <f>[1]!'@CTA[8-2-6-5-6-5631,J,1,#6]'</f>
        <v>0</v>
      </c>
      <c r="N923" s="74">
        <f>[1]!'@CTA[8-2-7-5-6-5631,F,1,#6]'</f>
        <v>0</v>
      </c>
      <c r="O923" s="66">
        <f t="shared" si="62"/>
        <v>44304</v>
      </c>
    </row>
    <row r="924" spans="1:15" ht="120" x14ac:dyDescent="0.2">
      <c r="A924" s="67" t="s">
        <v>302</v>
      </c>
      <c r="B924" s="61" t="s">
        <v>152</v>
      </c>
      <c r="C924" s="61" t="s">
        <v>149</v>
      </c>
      <c r="D924" s="62" t="s">
        <v>303</v>
      </c>
      <c r="E924" s="71" t="s">
        <v>257</v>
      </c>
      <c r="F924" s="72">
        <v>5632</v>
      </c>
      <c r="G924" s="73" t="s">
        <v>304</v>
      </c>
      <c r="H924" s="74">
        <f>[1]!'@CTA[8-2-1-5-6-5632,F,1,#6]'</f>
        <v>0</v>
      </c>
      <c r="I924" s="74">
        <f>[1]!'@CTA[8-2-3-5-6-5632,F,1,#6]'</f>
        <v>0</v>
      </c>
      <c r="J924" s="75">
        <f>[1]!'@CTA[8-2-1-5-6-5632,F,1,#6]'+[1]!'@CTA[8-2-3-5-6-5632,F,1,#6]'</f>
        <v>0</v>
      </c>
      <c r="K924" s="76">
        <f>[1]!'@CTA[8-2-4-5-6-5632,J,1,#6]'</f>
        <v>0</v>
      </c>
      <c r="L924" s="76">
        <f>[1]!'@CTA[8-2-5-5-6-5632,J,1,#6]'</f>
        <v>0</v>
      </c>
      <c r="M924" s="76">
        <f>[1]!'@CTA[8-2-6-5-6-5632,J,1,#6]'</f>
        <v>0</v>
      </c>
      <c r="N924" s="74">
        <f>[1]!'@CTA[8-2-7-5-6-5632,F,1,#6]'</f>
        <v>0</v>
      </c>
      <c r="O924" s="66">
        <f t="shared" si="62"/>
        <v>0</v>
      </c>
    </row>
    <row r="925" spans="1:15" ht="120" x14ac:dyDescent="0.2">
      <c r="A925" s="67" t="s">
        <v>302</v>
      </c>
      <c r="B925" s="61" t="s">
        <v>152</v>
      </c>
      <c r="C925" s="61" t="s">
        <v>149</v>
      </c>
      <c r="D925" s="62" t="s">
        <v>303</v>
      </c>
      <c r="E925" s="71" t="s">
        <v>257</v>
      </c>
      <c r="F925" s="72">
        <v>5651</v>
      </c>
      <c r="G925" s="73" t="s">
        <v>268</v>
      </c>
      <c r="H925" s="74">
        <f>[1]!'@CTA[8-2-1-5-6-5651,F,1,#6]'</f>
        <v>18270</v>
      </c>
      <c r="I925" s="74">
        <f>[1]!'@CTA[8-2-3-5-6-5651,F,1,#6]'</f>
        <v>0</v>
      </c>
      <c r="J925" s="75">
        <f>[1]!'@CTA[8-2-1-5-6-5651,F,1,#6]'+[1]!'@CTA[8-2-3-5-6-5651,F,1,#6]'</f>
        <v>18270</v>
      </c>
      <c r="K925" s="76">
        <f>[1]!'@CTA[8-2-4-5-6-5651,J,1,#6]'</f>
        <v>0</v>
      </c>
      <c r="L925" s="76">
        <f>[1]!'@CTA[8-2-5-5-6-5651,J,1,#6]'</f>
        <v>0</v>
      </c>
      <c r="M925" s="76">
        <f>[1]!'@CTA[8-2-6-5-6-5651,J,1,#6]'</f>
        <v>0</v>
      </c>
      <c r="N925" s="74">
        <f>[1]!'@CTA[8-2-7-5-6-5651,F,1,#6]'</f>
        <v>0</v>
      </c>
      <c r="O925" s="66">
        <f t="shared" si="62"/>
        <v>18270</v>
      </c>
    </row>
    <row r="926" spans="1:15" ht="120" x14ac:dyDescent="0.2">
      <c r="A926" s="67" t="s">
        <v>302</v>
      </c>
      <c r="B926" s="61" t="s">
        <v>152</v>
      </c>
      <c r="C926" s="61" t="s">
        <v>149</v>
      </c>
      <c r="D926" s="62" t="s">
        <v>303</v>
      </c>
      <c r="E926" s="71" t="s">
        <v>257</v>
      </c>
      <c r="F926" s="72">
        <v>5671</v>
      </c>
      <c r="G926" s="73" t="s">
        <v>269</v>
      </c>
      <c r="H926" s="74">
        <f>[1]!'@CTA[8-2-1-5-6-5671,F,1,#6]'</f>
        <v>2147</v>
      </c>
      <c r="I926" s="74">
        <f>[1]!'@CTA[8-2-3-5-6-5671,F,1,#6]'</f>
        <v>0</v>
      </c>
      <c r="J926" s="75">
        <f>[1]!'@CTA[8-2-1-5-6-5671,F,1,#6]'+[1]!'@CTA[8-2-3-5-6-5671,F,1,#6]'</f>
        <v>2147</v>
      </c>
      <c r="K926" s="76">
        <f>[1]!'@CTA[8-2-4-5-6-5671,J,1,#6]'</f>
        <v>0</v>
      </c>
      <c r="L926" s="76">
        <f>[1]!'@CTA[8-2-5-5-6-5671,J,1,#6]'</f>
        <v>0</v>
      </c>
      <c r="M926" s="76">
        <f>[1]!'@CTA[8-2-6-5-6-5671,J,1,#6]'</f>
        <v>0</v>
      </c>
      <c r="N926" s="74">
        <f>[1]!'@CTA[8-2-7-5-6-5671,F,1,#6]'</f>
        <v>0</v>
      </c>
      <c r="O926" s="66">
        <f t="shared" si="62"/>
        <v>2147</v>
      </c>
    </row>
    <row r="927" spans="1:15" ht="120" x14ac:dyDescent="0.2">
      <c r="A927" s="67" t="s">
        <v>302</v>
      </c>
      <c r="B927" s="61" t="s">
        <v>152</v>
      </c>
      <c r="C927" s="61" t="s">
        <v>149</v>
      </c>
      <c r="D927" s="62" t="s">
        <v>303</v>
      </c>
      <c r="E927" s="71" t="s">
        <v>257</v>
      </c>
      <c r="F927" s="72">
        <v>5693</v>
      </c>
      <c r="G927" s="73" t="s">
        <v>305</v>
      </c>
      <c r="H927" s="74">
        <f>[1]!'@CTA[8-2-1-5-6-5693,F,1,#6]'</f>
        <v>0</v>
      </c>
      <c r="I927" s="74">
        <f>[1]!'@CTA[8-2-3-5-6-5693,F,1,#6]'</f>
        <v>0</v>
      </c>
      <c r="J927" s="75">
        <f>[1]!'@CTA[8-2-1-5-6-5693,F,1,#6]'+[1]!'@CTA[8-2-3-5-6-5693,F,1,#6]'</f>
        <v>0</v>
      </c>
      <c r="K927" s="76">
        <f>[1]!'@CTA[8-2-4-5-6-5693,J,1,#6]'</f>
        <v>0</v>
      </c>
      <c r="L927" s="76">
        <f>[1]!'@CTA[8-2-5-5-6-5693,J,1,#6]'</f>
        <v>0</v>
      </c>
      <c r="M927" s="76">
        <f>[1]!'@CTA[8-2-6-5-6-5693,J,1,#6]'</f>
        <v>0</v>
      </c>
      <c r="N927" s="74">
        <f>[1]!'@CTA[8-2-7-5-6-5693,F,1,#6]'</f>
        <v>0</v>
      </c>
      <c r="O927" s="66">
        <f t="shared" si="62"/>
        <v>0</v>
      </c>
    </row>
    <row r="928" spans="1:15" ht="120" x14ac:dyDescent="0.2">
      <c r="A928" s="67" t="s">
        <v>302</v>
      </c>
      <c r="B928" s="61" t="s">
        <v>152</v>
      </c>
      <c r="C928" s="61" t="s">
        <v>149</v>
      </c>
      <c r="D928" s="62" t="s">
        <v>303</v>
      </c>
      <c r="E928" s="71" t="s">
        <v>270</v>
      </c>
      <c r="F928" s="72">
        <v>5911</v>
      </c>
      <c r="G928" s="73" t="s">
        <v>271</v>
      </c>
      <c r="H928" s="74">
        <f>[1]!'@CTA[8-2-1-5-9-5911,F,1,#6]'</f>
        <v>0</v>
      </c>
      <c r="I928" s="74">
        <f>[1]!'@CTA[8-2-3-5-9-5911,F,1,#6]'</f>
        <v>0</v>
      </c>
      <c r="J928" s="75">
        <f>[1]!'@CTA[8-2-1-5-9-5911,F,1,#6]'+[1]!'@CTA[8-2-3-5-9-5911,F,1,#6]'</f>
        <v>0</v>
      </c>
      <c r="K928" s="76">
        <f>[1]!'@CTA[8-2-4-5-9-5911,J,1,#6]'</f>
        <v>0</v>
      </c>
      <c r="L928" s="76">
        <f>[1]!'@CTA[8-2-5-5-9-5911,J,1,#6]'</f>
        <v>0</v>
      </c>
      <c r="M928" s="76">
        <f>[1]!'@CTA[8-2-6-5-9-5911,J,1,#6]'</f>
        <v>0</v>
      </c>
      <c r="N928" s="74">
        <f>[1]!'@CTA[8-2-7-5-9-5911,F,1,#6]'</f>
        <v>0</v>
      </c>
      <c r="O928" s="66">
        <f t="shared" si="62"/>
        <v>0</v>
      </c>
    </row>
    <row r="929" spans="1:15" ht="120" x14ac:dyDescent="0.2">
      <c r="A929" s="67" t="s">
        <v>302</v>
      </c>
      <c r="B929" s="61"/>
      <c r="C929" s="61" t="s">
        <v>149</v>
      </c>
      <c r="D929" s="62" t="s">
        <v>303</v>
      </c>
      <c r="E929" s="61"/>
      <c r="F929" s="63">
        <v>6000</v>
      </c>
      <c r="G929" s="68" t="s">
        <v>274</v>
      </c>
      <c r="H929" s="69">
        <f>SUBTOTAL(9,H930:H934)</f>
        <v>0</v>
      </c>
      <c r="I929" s="69">
        <f t="shared" ref="I929:N929" si="64">SUBTOTAL(9,I930:I934)</f>
        <v>0</v>
      </c>
      <c r="J929" s="69">
        <f t="shared" si="64"/>
        <v>0</v>
      </c>
      <c r="K929" s="69">
        <f t="shared" si="64"/>
        <v>0</v>
      </c>
      <c r="L929" s="69">
        <f t="shared" si="64"/>
        <v>0</v>
      </c>
      <c r="M929" s="69">
        <f t="shared" si="64"/>
        <v>0</v>
      </c>
      <c r="N929" s="69">
        <f t="shared" si="64"/>
        <v>-1.1423253454267979E-9</v>
      </c>
      <c r="O929" s="66">
        <f t="shared" si="62"/>
        <v>0</v>
      </c>
    </row>
    <row r="930" spans="1:15" ht="120" x14ac:dyDescent="0.2">
      <c r="A930" s="67" t="s">
        <v>302</v>
      </c>
      <c r="B930" s="61" t="s">
        <v>275</v>
      </c>
      <c r="C930" s="61" t="s">
        <v>149</v>
      </c>
      <c r="D930" s="62" t="s">
        <v>303</v>
      </c>
      <c r="E930" s="71" t="s">
        <v>276</v>
      </c>
      <c r="F930" s="72">
        <v>6131</v>
      </c>
      <c r="G930" s="78" t="s">
        <v>277</v>
      </c>
      <c r="H930" s="74">
        <f>[1]!'@CTA[8-2-1-6-1-6131,F,1,#6]'</f>
        <v>0</v>
      </c>
      <c r="I930" s="74">
        <f>[1]!'@CTA[8-2-3-6-1-6131,F,1,#6]'</f>
        <v>0</v>
      </c>
      <c r="J930" s="75">
        <f>[1]!'@CTA[8-2-1-6-1-6131,F,1,#6]'+[1]!'@CTA[8-2-3-6-1-6131,F,1,#6]'</f>
        <v>0</v>
      </c>
      <c r="K930" s="76">
        <f>[1]!'@CTA[8-2-4-6-1-6131,J,1,#6]'</f>
        <v>0</v>
      </c>
      <c r="L930" s="76">
        <f>[1]!'@CTA[8-2-5-6-1-6131,J,1,#6]'</f>
        <v>0</v>
      </c>
      <c r="M930" s="76">
        <f>[1]!'@CTA[8-2-6-6-1-6131,J,1,#6]'</f>
        <v>0</v>
      </c>
      <c r="N930" s="74">
        <f>[1]!'@CTA[8-2-7-6-1-6131,F,1,#6]'</f>
        <v>2.1827872842550278E-11</v>
      </c>
      <c r="O930" s="66">
        <f t="shared" si="62"/>
        <v>0</v>
      </c>
    </row>
    <row r="931" spans="1:15" ht="120" x14ac:dyDescent="0.2">
      <c r="A931" s="67" t="s">
        <v>302</v>
      </c>
      <c r="B931" s="61" t="s">
        <v>275</v>
      </c>
      <c r="C931" s="61" t="s">
        <v>149</v>
      </c>
      <c r="D931" s="62" t="s">
        <v>303</v>
      </c>
      <c r="E931" s="71" t="s">
        <v>276</v>
      </c>
      <c r="F931" s="72">
        <v>6161</v>
      </c>
      <c r="G931" s="78" t="s">
        <v>278</v>
      </c>
      <c r="H931" s="74">
        <f>[1]!'@CTA[8-2-1-6-1-6161,F,1,#6]'</f>
        <v>0</v>
      </c>
      <c r="I931" s="74">
        <f>[1]!'@CTA[8-2-3-6-1-6161,F,1,#6]'</f>
        <v>0</v>
      </c>
      <c r="J931" s="75">
        <f>[1]!'@CTA[8-2-1-6-1-6161,F,1,#6]'+[1]!'@CTA[8-2-3-6-1-6161,F,1,#6]'</f>
        <v>0</v>
      </c>
      <c r="K931" s="76">
        <f>[1]!'@CTA[8-2-4-6-1-6161,J,1,#6]'</f>
        <v>0</v>
      </c>
      <c r="L931" s="76">
        <f>[1]!'@CTA[8-2-5-6-1-6161,J,1,#6]'</f>
        <v>0</v>
      </c>
      <c r="M931" s="76">
        <f>[1]!'@CTA[8-2-6-6-1-6161,J,1,#6]'</f>
        <v>0</v>
      </c>
      <c r="N931" s="74">
        <f>[1]!'@CTA[8-2-7-6-1-6161,F,1,#6]'</f>
        <v>0</v>
      </c>
      <c r="O931" s="66">
        <f t="shared" si="62"/>
        <v>0</v>
      </c>
    </row>
    <row r="932" spans="1:15" ht="120" x14ac:dyDescent="0.2">
      <c r="A932" s="67" t="s">
        <v>302</v>
      </c>
      <c r="B932" s="61" t="s">
        <v>275</v>
      </c>
      <c r="C932" s="61" t="s">
        <v>149</v>
      </c>
      <c r="D932" s="62" t="s">
        <v>303</v>
      </c>
      <c r="E932" s="71" t="s">
        <v>276</v>
      </c>
      <c r="F932" s="72">
        <v>6162</v>
      </c>
      <c r="G932" s="78" t="s">
        <v>279</v>
      </c>
      <c r="H932" s="76">
        <f>[1]!'@CTA[8-2-1-6-1-6162,F,1,#6]'</f>
        <v>0</v>
      </c>
      <c r="I932" s="74">
        <f>[1]!'@CTA[8-2-3-6-1-6162,F,1,#6]'</f>
        <v>0</v>
      </c>
      <c r="J932" s="75">
        <f>[1]!'@CTA[8-2-1-6-1-6162,F,1,#6]'+[1]!'@CTA[8-2-3-6-1-6162,F,1,#6]'</f>
        <v>0</v>
      </c>
      <c r="K932" s="76">
        <f>[1]!'@CTA[8-2-4-6-1-6162,J,1,#6]'</f>
        <v>0</v>
      </c>
      <c r="L932" s="76">
        <f>[1]!'@CTA[8-2-5-6-1-6162,J,1,#6]'</f>
        <v>0</v>
      </c>
      <c r="M932" s="76">
        <f>[1]!'@CTA[8-2-6-6-1-6162,J,1,#6]'</f>
        <v>0</v>
      </c>
      <c r="N932" s="74">
        <f>[1]!'@CTA[8-2-7-6-1-6162,F,1,#6]'</f>
        <v>-6.9849193096160889E-10</v>
      </c>
      <c r="O932" s="66">
        <f t="shared" si="62"/>
        <v>0</v>
      </c>
    </row>
    <row r="933" spans="1:15" ht="120" x14ac:dyDescent="0.2">
      <c r="A933" s="67" t="s">
        <v>302</v>
      </c>
      <c r="B933" s="61" t="s">
        <v>275</v>
      </c>
      <c r="C933" s="61" t="s">
        <v>149</v>
      </c>
      <c r="D933" s="62" t="s">
        <v>303</v>
      </c>
      <c r="E933" s="71" t="s">
        <v>276</v>
      </c>
      <c r="F933" s="72">
        <v>6171</v>
      </c>
      <c r="G933" s="78" t="s">
        <v>280</v>
      </c>
      <c r="H933" s="74">
        <f>[1]!'@CTA[8-2-1-6-1-6171,F,1,#6]'</f>
        <v>0</v>
      </c>
      <c r="I933" s="74">
        <f>[1]!'@CTA[8-2-3-6-1-6171,F,1,#6]'</f>
        <v>0</v>
      </c>
      <c r="J933" s="75">
        <f>[1]!'@CTA[8-2-1-6-1-6171,F,1,#6]'+[1]!'@CTA[8-2-3-6-1-6171,F,1,#6]'</f>
        <v>0</v>
      </c>
      <c r="K933" s="76">
        <f>[1]!'@CTA[8-2-4-6-1-6171,J,1,#6]'</f>
        <v>0</v>
      </c>
      <c r="L933" s="76">
        <f>[1]!'@CTA[8-2-5-6-1-6171,J,1,#6]'</f>
        <v>0</v>
      </c>
      <c r="M933" s="76">
        <f>[1]!'@CTA[8-2-6-6-1-6171,J,1,#6]'</f>
        <v>0</v>
      </c>
      <c r="N933" s="74">
        <f>[1]!'@CTA[8-2-7-6-1-6171,F,1,#6]'</f>
        <v>-4.6566128730773926E-10</v>
      </c>
      <c r="O933" s="66">
        <f t="shared" si="62"/>
        <v>0</v>
      </c>
    </row>
    <row r="934" spans="1:15" ht="120" x14ac:dyDescent="0.2">
      <c r="A934" s="67" t="s">
        <v>302</v>
      </c>
      <c r="B934" s="61" t="s">
        <v>275</v>
      </c>
      <c r="C934" s="61" t="s">
        <v>149</v>
      </c>
      <c r="D934" s="62" t="s">
        <v>303</v>
      </c>
      <c r="E934" s="71" t="s">
        <v>276</v>
      </c>
      <c r="F934" s="72">
        <v>6221</v>
      </c>
      <c r="G934" s="78" t="s">
        <v>306</v>
      </c>
      <c r="H934" s="74">
        <f>[1]!'@CTA[8-2-1-6-2-6221,F,1,#6]'</f>
        <v>0</v>
      </c>
      <c r="I934" s="74">
        <f>[1]!'@CTA[8-2-3-6-2-6221,F,1,#6]'</f>
        <v>0</v>
      </c>
      <c r="J934" s="75">
        <f>[1]!'@CTA[8-2-1-6-2-6221,F,1,#6]'+[1]!'@CTA[8-2-3-6-2-6221,F,1,#6]'</f>
        <v>0</v>
      </c>
      <c r="K934" s="76">
        <f>[1]!'@CTA[8-2-4-6-2-6221,J,1,#6]'</f>
        <v>0</v>
      </c>
      <c r="L934" s="76">
        <f>[1]!'@CTA[8-2-5-6-2-6221,J,1,#6]'</f>
        <v>0</v>
      </c>
      <c r="M934" s="76">
        <f>[1]!'@CTA[8-2-6-6-2-6221,J,1,#6]'</f>
        <v>0</v>
      </c>
      <c r="N934" s="74">
        <f>[1]!'@CTA[8-2-7-6-2-6221,F,1,#6]'</f>
        <v>0</v>
      </c>
      <c r="O934" s="66">
        <f t="shared" si="62"/>
        <v>0</v>
      </c>
    </row>
    <row r="935" spans="1:15" ht="12" x14ac:dyDescent="0.2">
      <c r="A935" s="67"/>
      <c r="B935" s="61"/>
      <c r="C935" s="61"/>
      <c r="D935" s="82"/>
      <c r="E935" s="61"/>
      <c r="F935" s="63"/>
      <c r="G935" s="64" t="s">
        <v>307</v>
      </c>
      <c r="H935" s="65">
        <f t="shared" ref="H935:N935" si="65">SUBTOTAL(9,H936:H1050)</f>
        <v>14535558</v>
      </c>
      <c r="I935" s="65">
        <f t="shared" si="65"/>
        <v>7427593.2600000016</v>
      </c>
      <c r="J935" s="65">
        <f t="shared" si="65"/>
        <v>21963151.260000002</v>
      </c>
      <c r="K935" s="65">
        <f t="shared" si="65"/>
        <v>2810137.76</v>
      </c>
      <c r="L935" s="65">
        <f t="shared" si="65"/>
        <v>2810137.76</v>
      </c>
      <c r="M935" s="65">
        <f t="shared" si="65"/>
        <v>2810137.76</v>
      </c>
      <c r="N935" s="65">
        <f t="shared" si="65"/>
        <v>2784291.81</v>
      </c>
      <c r="O935" s="66">
        <f t="shared" si="62"/>
        <v>19153013.5</v>
      </c>
    </row>
    <row r="936" spans="1:15" ht="120" x14ac:dyDescent="0.2">
      <c r="A936" s="67" t="s">
        <v>302</v>
      </c>
      <c r="B936" s="61"/>
      <c r="C936" s="61"/>
      <c r="D936" s="62" t="s">
        <v>308</v>
      </c>
      <c r="E936" s="61"/>
      <c r="F936" s="63">
        <v>1000</v>
      </c>
      <c r="G936" s="68" t="s">
        <v>151</v>
      </c>
      <c r="H936" s="69">
        <f t="shared" ref="H936:N936" si="66">SUBTOTAL(9,H937:H955)</f>
        <v>1168449</v>
      </c>
      <c r="I936" s="69">
        <f>SUBTOTAL(9,I937:I955)</f>
        <v>22415.21</v>
      </c>
      <c r="J936" s="69">
        <f t="shared" si="66"/>
        <v>1190864.21</v>
      </c>
      <c r="K936" s="70">
        <f t="shared" si="66"/>
        <v>235476.53999999998</v>
      </c>
      <c r="L936" s="70">
        <f t="shared" si="66"/>
        <v>235476.53999999998</v>
      </c>
      <c r="M936" s="70">
        <f t="shared" si="66"/>
        <v>235476.53999999998</v>
      </c>
      <c r="N936" s="69">
        <f t="shared" si="66"/>
        <v>214127.72000000003</v>
      </c>
      <c r="O936" s="66">
        <f t="shared" si="62"/>
        <v>955387.66999999993</v>
      </c>
    </row>
    <row r="937" spans="1:15" ht="120" x14ac:dyDescent="0.2">
      <c r="A937" s="67" t="s">
        <v>302</v>
      </c>
      <c r="B937" s="61" t="s">
        <v>152</v>
      </c>
      <c r="C937" s="61" t="s">
        <v>149</v>
      </c>
      <c r="D937" s="62" t="s">
        <v>308</v>
      </c>
      <c r="E937" s="71" t="s">
        <v>153</v>
      </c>
      <c r="F937" s="72">
        <v>1131</v>
      </c>
      <c r="G937" s="73" t="s">
        <v>154</v>
      </c>
      <c r="H937" s="74">
        <f>[1]!'@CTA[8-2-1-1-1-1131,F,9,#6]'</f>
        <v>782096</v>
      </c>
      <c r="I937" s="74">
        <f>[1]!'@CTA[8-2-3-1-1-1131,F,9,#6]'</f>
        <v>0</v>
      </c>
      <c r="J937" s="75">
        <f>[1]!'@CTA[8-2-1-1-1-1131,F,9,#6]'+[1]!'@CTA[8-2-3-1-1-1131,F,9,#6]'</f>
        <v>782096</v>
      </c>
      <c r="K937" s="76">
        <f>[1]!'@CTA[8-2-4-1-1-1131,J,9,#6]'</f>
        <v>154351.23000000001</v>
      </c>
      <c r="L937" s="76">
        <f>[1]!'@CTA[8-2-5-1-1-1131,J,9,#6]'</f>
        <v>154351.23000000001</v>
      </c>
      <c r="M937" s="76">
        <f>[1]!'@CTA[8-2-6-1-1-1131,J,9,#6]'</f>
        <v>154351.23000000001</v>
      </c>
      <c r="N937" s="74">
        <f>[1]!'@CTA[8-2-7-1-1-1131,F,9,#6]'</f>
        <v>142599.21000000002</v>
      </c>
      <c r="O937" s="66">
        <f t="shared" si="62"/>
        <v>627744.77</v>
      </c>
    </row>
    <row r="938" spans="1:15" ht="120" x14ac:dyDescent="0.2">
      <c r="A938" s="67" t="s">
        <v>302</v>
      </c>
      <c r="B938" s="61" t="s">
        <v>152</v>
      </c>
      <c r="C938" s="61" t="s">
        <v>149</v>
      </c>
      <c r="D938" s="62" t="s">
        <v>308</v>
      </c>
      <c r="E938" s="71" t="s">
        <v>153</v>
      </c>
      <c r="F938" s="72">
        <v>1211</v>
      </c>
      <c r="G938" s="73" t="s">
        <v>156</v>
      </c>
      <c r="H938" s="74">
        <f>[1]!'@CTA[8-2-1-1-2-1211,F,9,#6]'</f>
        <v>0</v>
      </c>
      <c r="I938" s="74">
        <f>[1]!'@CTA[8-2-3-1-2-1211,F,9,#6]'</f>
        <v>0</v>
      </c>
      <c r="J938" s="75">
        <f>[1]!'@CTA[8-2-1-1-2-1211,F,9,#6]'+[1]!'@CTA[8-2-3-1-2-1211,F,9,#6]'</f>
        <v>0</v>
      </c>
      <c r="K938" s="76">
        <f>[1]!'@CTA[8-2-4-1-2-1211,J,9,#6]'</f>
        <v>0</v>
      </c>
      <c r="L938" s="76">
        <f>[1]!'@CTA[8-2-5-1-2-1211,J,9,#6]'</f>
        <v>0</v>
      </c>
      <c r="M938" s="76">
        <f>[1]!'@CTA[8-2-6-1-2-1211,J,9,#6]'</f>
        <v>0</v>
      </c>
      <c r="N938" s="74">
        <f>[1]!'@CTA[8-2-7-1-2-1211,F,9,#6]'</f>
        <v>0</v>
      </c>
      <c r="O938" s="66">
        <f t="shared" si="62"/>
        <v>0</v>
      </c>
    </row>
    <row r="939" spans="1:15" ht="120" x14ac:dyDescent="0.2">
      <c r="A939" s="67" t="s">
        <v>302</v>
      </c>
      <c r="B939" s="61" t="s">
        <v>152</v>
      </c>
      <c r="C939" s="61" t="s">
        <v>149</v>
      </c>
      <c r="D939" s="62" t="s">
        <v>308</v>
      </c>
      <c r="E939" s="71" t="s">
        <v>153</v>
      </c>
      <c r="F939" s="72">
        <v>1221</v>
      </c>
      <c r="G939" s="73" t="s">
        <v>155</v>
      </c>
      <c r="H939" s="74">
        <f>[1]!'@CTA[8-2-1-1-2-1221,F,9,#6]'</f>
        <v>12857</v>
      </c>
      <c r="I939" s="74">
        <f>[1]!'@CTA[8-2-3-1-2-1221,F,9,#6]'</f>
        <v>0</v>
      </c>
      <c r="J939" s="75">
        <f>[1]!'@CTA[8-2-1-1-2-1221,F,9,#6]'+[1]!'@CTA[8-2-3-1-2-1221,F,9,#6]'</f>
        <v>12857</v>
      </c>
      <c r="K939" s="76">
        <f>[1]!'@CTA[8-2-4-1-2-1221,J,9,#6]'</f>
        <v>0</v>
      </c>
      <c r="L939" s="76">
        <f>[1]!'@CTA[8-2-5-1-2-1221,J,9,#6]'</f>
        <v>0</v>
      </c>
      <c r="M939" s="76">
        <f>[1]!'@CTA[8-2-6-1-2-1221,J,9,#6]'</f>
        <v>0</v>
      </c>
      <c r="N939" s="74">
        <f>[1]!'@CTA[8-2-7-1-2-1221,F,9,#6]'</f>
        <v>0</v>
      </c>
      <c r="O939" s="66">
        <f t="shared" si="62"/>
        <v>12857</v>
      </c>
    </row>
    <row r="940" spans="1:15" ht="120" x14ac:dyDescent="0.2">
      <c r="A940" s="67" t="s">
        <v>302</v>
      </c>
      <c r="B940" s="61" t="s">
        <v>152</v>
      </c>
      <c r="C940" s="61" t="s">
        <v>149</v>
      </c>
      <c r="D940" s="62" t="s">
        <v>308</v>
      </c>
      <c r="E940" s="71" t="s">
        <v>153</v>
      </c>
      <c r="F940" s="72">
        <v>1311</v>
      </c>
      <c r="G940" s="73" t="s">
        <v>157</v>
      </c>
      <c r="H940" s="74">
        <f>[1]!'@CTA[8-2-1-1-3-1311,F,9,#6]'</f>
        <v>0</v>
      </c>
      <c r="I940" s="74">
        <f>[1]!'@CTA[8-2-3-1-3-1311,F,9,#6]'</f>
        <v>0</v>
      </c>
      <c r="J940" s="75">
        <f>[1]!'@CTA[8-2-1-1-3-1311,F,9,#6]'+[1]!'@CTA[8-2-3-1-3-1311,F,9,#6]'</f>
        <v>0</v>
      </c>
      <c r="K940" s="76">
        <f>[1]!'@CTA[8-2-4-1-3-1311,J,9,#6]'</f>
        <v>0</v>
      </c>
      <c r="L940" s="76">
        <f>[1]!'@CTA[8-2-5-1-3-1311,J,9,#6]'</f>
        <v>0</v>
      </c>
      <c r="M940" s="76">
        <f>[1]!'@CTA[8-2-6-1-3-1311,J,9,#6]'</f>
        <v>0</v>
      </c>
      <c r="N940" s="74">
        <f>[1]!'@CTA[8-2-7-1-3-1311,F,9,#6]'</f>
        <v>0</v>
      </c>
      <c r="O940" s="66">
        <f t="shared" si="62"/>
        <v>0</v>
      </c>
    </row>
    <row r="941" spans="1:15" ht="120" x14ac:dyDescent="0.2">
      <c r="A941" s="67" t="s">
        <v>302</v>
      </c>
      <c r="B941" s="61" t="s">
        <v>152</v>
      </c>
      <c r="C941" s="61" t="s">
        <v>149</v>
      </c>
      <c r="D941" s="62" t="s">
        <v>308</v>
      </c>
      <c r="E941" s="71" t="s">
        <v>153</v>
      </c>
      <c r="F941" s="72">
        <v>1321</v>
      </c>
      <c r="G941" s="73" t="s">
        <v>158</v>
      </c>
      <c r="H941" s="74">
        <f>[1]!'@CTA[8-2-1-1-3-1321,F,9,#6]'</f>
        <v>22730</v>
      </c>
      <c r="I941" s="74">
        <f>[1]!'@CTA[8-2-3-1-3-1321,F,9,#6]'</f>
        <v>0</v>
      </c>
      <c r="J941" s="75">
        <f>[1]!'@CTA[8-2-1-1-3-1321,F,9,#6]'+[1]!'@CTA[8-2-3-1-3-1321,F,9,#6]'</f>
        <v>22730</v>
      </c>
      <c r="K941" s="76">
        <f>[1]!'@CTA[8-2-4-1-3-1321,J,9,#6]'</f>
        <v>361.56</v>
      </c>
      <c r="L941" s="76">
        <f>[1]!'@CTA[8-2-5-1-3-1321,J,9,#6]'</f>
        <v>361.56</v>
      </c>
      <c r="M941" s="76">
        <f>[1]!'@CTA[8-2-6-1-3-1321,J,9,#6]'</f>
        <v>361.56</v>
      </c>
      <c r="N941" s="74">
        <f>[1]!'@CTA[8-2-7-1-3-1321,F,9,#6]'</f>
        <v>361.56</v>
      </c>
      <c r="O941" s="66">
        <f t="shared" si="62"/>
        <v>22368.44</v>
      </c>
    </row>
    <row r="942" spans="1:15" ht="120" x14ac:dyDescent="0.2">
      <c r="A942" s="67" t="s">
        <v>302</v>
      </c>
      <c r="B942" s="61" t="s">
        <v>152</v>
      </c>
      <c r="C942" s="61" t="s">
        <v>149</v>
      </c>
      <c r="D942" s="62" t="s">
        <v>308</v>
      </c>
      <c r="E942" s="71" t="s">
        <v>153</v>
      </c>
      <c r="F942" s="72">
        <v>1322</v>
      </c>
      <c r="G942" s="73" t="s">
        <v>159</v>
      </c>
      <c r="H942" s="74">
        <f>[1]!'@CTA[8-2-1-1-3-1322,F,9,#6]'</f>
        <v>21662</v>
      </c>
      <c r="I942" s="74">
        <f>[1]!'@CTA[8-2-3-1-3-1322,F,9,#6]'</f>
        <v>0</v>
      </c>
      <c r="J942" s="75">
        <f>[1]!'@CTA[8-2-1-1-3-1322,F,9,#6]'+[1]!'@CTA[8-2-3-1-3-1322,F,9,#6]'</f>
        <v>21662</v>
      </c>
      <c r="K942" s="76">
        <f>[1]!'@CTA[8-2-4-1-3-1322,J,9,#6]'</f>
        <v>5919.4400000000005</v>
      </c>
      <c r="L942" s="76">
        <f>[1]!'@CTA[8-2-5-1-3-1322,J,9,#6]'</f>
        <v>5919.4400000000005</v>
      </c>
      <c r="M942" s="76">
        <f>[1]!'@CTA[8-2-6-1-3-1322,J,9,#6]'</f>
        <v>5919.4400000000005</v>
      </c>
      <c r="N942" s="74">
        <f>[1]!'@CTA[8-2-7-1-3-1322,F,9,#6]'</f>
        <v>4262.29</v>
      </c>
      <c r="O942" s="66">
        <f t="shared" si="62"/>
        <v>15742.56</v>
      </c>
    </row>
    <row r="943" spans="1:15" ht="120" x14ac:dyDescent="0.2">
      <c r="A943" s="67" t="s">
        <v>302</v>
      </c>
      <c r="B943" s="61" t="s">
        <v>152</v>
      </c>
      <c r="C943" s="61" t="s">
        <v>149</v>
      </c>
      <c r="D943" s="62" t="s">
        <v>308</v>
      </c>
      <c r="E943" s="71" t="s">
        <v>153</v>
      </c>
      <c r="F943" s="72">
        <v>1323</v>
      </c>
      <c r="G943" s="73" t="s">
        <v>160</v>
      </c>
      <c r="H943" s="74">
        <f>[1]!'@CTA[8-2-1-1-3-1323,F,9,#6]'</f>
        <v>90600</v>
      </c>
      <c r="I943" s="74">
        <f>[1]!'@CTA[8-2-3-1-3-1323,F,9,#6]'</f>
        <v>0</v>
      </c>
      <c r="J943" s="75">
        <f>[1]!'@CTA[8-2-1-1-3-1323,F,9,#6]'+[1]!'@CTA[8-2-3-1-3-1323,F,9,#6]'</f>
        <v>90600</v>
      </c>
      <c r="K943" s="76">
        <f>[1]!'@CTA[8-2-4-1-3-1323,J,9,#6]'</f>
        <v>0</v>
      </c>
      <c r="L943" s="76">
        <f>[1]!'@CTA[8-2-5-1-3-1323,J,9,#6]'</f>
        <v>0</v>
      </c>
      <c r="M943" s="76">
        <f>[1]!'@CTA[8-2-6-1-3-1323,J,9,#6]'</f>
        <v>0</v>
      </c>
      <c r="N943" s="74">
        <f>[1]!'@CTA[8-2-7-1-3-1323,F,9,#6]'</f>
        <v>0</v>
      </c>
      <c r="O943" s="66">
        <f t="shared" si="62"/>
        <v>90600</v>
      </c>
    </row>
    <row r="944" spans="1:15" ht="120" x14ac:dyDescent="0.2">
      <c r="A944" s="67" t="s">
        <v>302</v>
      </c>
      <c r="B944" s="61" t="s">
        <v>152</v>
      </c>
      <c r="C944" s="61" t="s">
        <v>149</v>
      </c>
      <c r="D944" s="62" t="s">
        <v>308</v>
      </c>
      <c r="E944" s="71" t="s">
        <v>153</v>
      </c>
      <c r="F944" s="72">
        <v>1331</v>
      </c>
      <c r="G944" s="73" t="s">
        <v>161</v>
      </c>
      <c r="H944" s="74">
        <f>[1]!'@CTA[8-2-1-1-3-1331,F,9,#6]'</f>
        <v>0</v>
      </c>
      <c r="I944" s="74">
        <f>[1]!'@CTA[8-2-3-1-3-1331,F,9,#6]'</f>
        <v>0</v>
      </c>
      <c r="J944" s="75">
        <f>[1]!'@CTA[8-2-1-1-3-1331,F,9,#6]'+[1]!'@CTA[8-2-3-1-3-1331,F,9,#6]'</f>
        <v>0</v>
      </c>
      <c r="K944" s="76">
        <f>[1]!'@CTA[8-2-4-1-3-1331,J,9,#6]'</f>
        <v>0</v>
      </c>
      <c r="L944" s="76">
        <f>[1]!'@CTA[8-2-5-1-3-1331,J,9,#6]'</f>
        <v>0</v>
      </c>
      <c r="M944" s="76">
        <f>[1]!'@CTA[8-2-6-1-3-1331,J,9,#6]'</f>
        <v>0</v>
      </c>
      <c r="N944" s="74">
        <f>[1]!'@CTA[8-2-7-1-3-1331,F,9,#6]'</f>
        <v>0</v>
      </c>
      <c r="O944" s="66">
        <f t="shared" si="62"/>
        <v>0</v>
      </c>
    </row>
    <row r="945" spans="1:15" ht="120" x14ac:dyDescent="0.2">
      <c r="A945" s="67" t="s">
        <v>302</v>
      </c>
      <c r="B945" s="61" t="s">
        <v>152</v>
      </c>
      <c r="C945" s="61" t="s">
        <v>149</v>
      </c>
      <c r="D945" s="62" t="s">
        <v>308</v>
      </c>
      <c r="E945" s="71" t="s">
        <v>153</v>
      </c>
      <c r="F945" s="72">
        <v>1341</v>
      </c>
      <c r="G945" s="73" t="s">
        <v>162</v>
      </c>
      <c r="H945" s="74">
        <f>[1]!'@CTA[8-2-1-1-3-1341,F,9,#6]'</f>
        <v>0</v>
      </c>
      <c r="I945" s="74">
        <f>[1]!'@CTA[8-2-3-1-3-1341,F,9,#6]'</f>
        <v>0</v>
      </c>
      <c r="J945" s="75">
        <f>[1]!'@CTA[8-2-1-1-3-1341,F,9,#6]'+[1]!'@CTA[8-2-3-1-3-1341,F,9,#6]'</f>
        <v>0</v>
      </c>
      <c r="K945" s="76">
        <f>[1]!'@CTA[8-2-4-1-3-1341,J,9,#6]'</f>
        <v>0</v>
      </c>
      <c r="L945" s="76">
        <f>[1]!'@CTA[8-2-5-1-3-1341,J,9,#6]'</f>
        <v>0</v>
      </c>
      <c r="M945" s="76">
        <f>[1]!'@CTA[8-2-6-1-3-1341,J,9,#6]'</f>
        <v>0</v>
      </c>
      <c r="N945" s="74">
        <f>[1]!'@CTA[8-2-7-1-3-1341,F,9,#6]'</f>
        <v>0</v>
      </c>
      <c r="O945" s="66">
        <f t="shared" si="62"/>
        <v>0</v>
      </c>
    </row>
    <row r="946" spans="1:15" ht="120" x14ac:dyDescent="0.2">
      <c r="A946" s="67" t="s">
        <v>302</v>
      </c>
      <c r="B946" s="61" t="s">
        <v>163</v>
      </c>
      <c r="C946" s="61" t="s">
        <v>149</v>
      </c>
      <c r="D946" s="62" t="s">
        <v>308</v>
      </c>
      <c r="E946" s="71" t="s">
        <v>164</v>
      </c>
      <c r="F946" s="72">
        <v>1411</v>
      </c>
      <c r="G946" s="73" t="s">
        <v>165</v>
      </c>
      <c r="H946" s="74">
        <f>[1]!'@CTA[8-2-1-1-4-1411,F,9,#6]'</f>
        <v>46079</v>
      </c>
      <c r="I946" s="74">
        <f>[1]!'@CTA[8-2-3-1-4-1411,F,9,#6]'</f>
        <v>7703.65</v>
      </c>
      <c r="J946" s="75">
        <f>[1]!'@CTA[8-2-1-1-4-1411,F,9,#6]'+[1]!'@CTA[8-2-3-1-4-1411,F,9,#6]'</f>
        <v>53782.65</v>
      </c>
      <c r="K946" s="76">
        <f>[1]!'@CTA[8-2-4-1-4-1411,J,9,#6]'</f>
        <v>23121.519999999997</v>
      </c>
      <c r="L946" s="76">
        <f>[1]!'@CTA[8-2-5-1-4-1411,J,9,#6]'</f>
        <v>23121.519999999997</v>
      </c>
      <c r="M946" s="76">
        <f>[1]!'@CTA[8-2-6-1-4-1411,J,9,#6]'</f>
        <v>23121.519999999997</v>
      </c>
      <c r="N946" s="74">
        <f>[1]!'@CTA[8-2-7-1-4-1411,F,9,#6]'</f>
        <v>15181.869999999999</v>
      </c>
      <c r="O946" s="66">
        <f t="shared" si="62"/>
        <v>30661.130000000005</v>
      </c>
    </row>
    <row r="947" spans="1:15" ht="120" x14ac:dyDescent="0.2">
      <c r="A947" s="67" t="s">
        <v>302</v>
      </c>
      <c r="B947" s="61" t="s">
        <v>163</v>
      </c>
      <c r="C947" s="61" t="s">
        <v>149</v>
      </c>
      <c r="D947" s="62" t="s">
        <v>308</v>
      </c>
      <c r="E947" s="71" t="s">
        <v>164</v>
      </c>
      <c r="F947" s="72">
        <v>1421</v>
      </c>
      <c r="G947" s="73" t="s">
        <v>166</v>
      </c>
      <c r="H947" s="74">
        <f>[1]!'@CTA[8-2-1-1-4-1421,F,9,#6]'</f>
        <v>17218</v>
      </c>
      <c r="I947" s="74">
        <f>[1]!'@CTA[8-2-3-1-4-1421,F,9,#6]'</f>
        <v>7247.08</v>
      </c>
      <c r="J947" s="75">
        <f>[1]!'@CTA[8-2-1-1-4-1421,F,9,#6]'+[1]!'@CTA[8-2-3-1-4-1421,F,9,#6]'</f>
        <v>24465.08</v>
      </c>
      <c r="K947" s="76">
        <f>[1]!'@CTA[8-2-4-1-4-1421,J,9,#6]'</f>
        <v>8441.74</v>
      </c>
      <c r="L947" s="76">
        <f>[1]!'@CTA[8-2-5-1-4-1421,J,9,#6]'</f>
        <v>8441.74</v>
      </c>
      <c r="M947" s="76">
        <f>[1]!'@CTA[8-2-6-1-4-1421,J,9,#6]'</f>
        <v>8441.74</v>
      </c>
      <c r="N947" s="74">
        <f>[1]!'@CTA[8-2-7-1-4-1421,F,9,#6]'</f>
        <v>8441.74</v>
      </c>
      <c r="O947" s="66">
        <f t="shared" si="62"/>
        <v>16023.340000000002</v>
      </c>
    </row>
    <row r="948" spans="1:15" ht="120" x14ac:dyDescent="0.2">
      <c r="A948" s="67" t="s">
        <v>302</v>
      </c>
      <c r="B948" s="61" t="s">
        <v>163</v>
      </c>
      <c r="C948" s="61" t="s">
        <v>149</v>
      </c>
      <c r="D948" s="62" t="s">
        <v>308</v>
      </c>
      <c r="E948" s="71" t="s">
        <v>164</v>
      </c>
      <c r="F948" s="72">
        <v>1431</v>
      </c>
      <c r="G948" s="73" t="s">
        <v>167</v>
      </c>
      <c r="H948" s="74">
        <f>[1]!'@CTA[8-2-1-1-4-1431,F,9,#6]'</f>
        <v>17735</v>
      </c>
      <c r="I948" s="74">
        <f>[1]!'@CTA[8-2-3-1-4-1431,F,9,#6]'</f>
        <v>7464.48</v>
      </c>
      <c r="J948" s="75">
        <f>[1]!'@CTA[8-2-1-1-4-1431,F,9,#6]'+[1]!'@CTA[8-2-3-1-4-1431,F,9,#6]'</f>
        <v>25199.48</v>
      </c>
      <c r="K948" s="76">
        <f>[1]!'@CTA[8-2-4-1-4-1431,J,9,#6]'</f>
        <v>8695</v>
      </c>
      <c r="L948" s="76">
        <f>[1]!'@CTA[8-2-5-1-4-1431,J,9,#6]'</f>
        <v>8695</v>
      </c>
      <c r="M948" s="76">
        <f>[1]!'@CTA[8-2-6-1-4-1431,J,9,#6]'</f>
        <v>8695</v>
      </c>
      <c r="N948" s="74">
        <f>[1]!'@CTA[8-2-7-1-4-1431,F,9,#6]'</f>
        <v>8695</v>
      </c>
      <c r="O948" s="66">
        <f t="shared" si="62"/>
        <v>16504.48</v>
      </c>
    </row>
    <row r="949" spans="1:15" ht="120" x14ac:dyDescent="0.2">
      <c r="A949" s="67" t="s">
        <v>302</v>
      </c>
      <c r="B949" s="61" t="s">
        <v>163</v>
      </c>
      <c r="C949" s="61" t="s">
        <v>149</v>
      </c>
      <c r="D949" s="62" t="s">
        <v>308</v>
      </c>
      <c r="E949" s="71" t="s">
        <v>164</v>
      </c>
      <c r="F949" s="72">
        <v>1441</v>
      </c>
      <c r="G949" s="73" t="s">
        <v>168</v>
      </c>
      <c r="H949" s="74">
        <f>[1]!'@CTA[8-2-1-1-4-1441,F,9,#6]'</f>
        <v>2816</v>
      </c>
      <c r="I949" s="74">
        <f>[1]!'@CTA[8-2-3-1-4-1441,F,9,#6]'</f>
        <v>0</v>
      </c>
      <c r="J949" s="75">
        <f>[1]!'@CTA[8-2-1-1-4-1441,F,9,#6]'+[1]!'@CTA[8-2-3-1-4-1441,F,9,#6]'</f>
        <v>2816</v>
      </c>
      <c r="K949" s="76">
        <f>[1]!'@CTA[8-2-4-1-4-1441,J,9,#6]'</f>
        <v>222.85</v>
      </c>
      <c r="L949" s="83">
        <f>[1]!'@CTA[8-2-5-1-4-1441,J,9,#6]'</f>
        <v>222.85</v>
      </c>
      <c r="M949" s="76">
        <f>[1]!'@CTA[8-2-6-1-4-1441,J,9,#6]'</f>
        <v>222.85</v>
      </c>
      <c r="N949" s="74">
        <f>[1]!'@CTA[8-2-7-1-4-1441,F,9,#6]'</f>
        <v>222.84999999999954</v>
      </c>
      <c r="O949" s="66">
        <f t="shared" si="62"/>
        <v>2593.15</v>
      </c>
    </row>
    <row r="950" spans="1:15" ht="120" x14ac:dyDescent="0.2">
      <c r="A950" s="67" t="s">
        <v>302</v>
      </c>
      <c r="B950" s="61" t="s">
        <v>169</v>
      </c>
      <c r="C950" s="61" t="s">
        <v>149</v>
      </c>
      <c r="D950" s="62" t="s">
        <v>308</v>
      </c>
      <c r="E950" s="71" t="s">
        <v>153</v>
      </c>
      <c r="F950" s="72">
        <v>1521</v>
      </c>
      <c r="G950" s="73" t="s">
        <v>170</v>
      </c>
      <c r="H950" s="74">
        <f>[1]!'@CTA[8-2-1-1-5-1521,F,9,#6]'</f>
        <v>0</v>
      </c>
      <c r="I950" s="74">
        <f>[1]!'@CTA[8-2-3-1-5-1521,F,9,#6]'</f>
        <v>0</v>
      </c>
      <c r="J950" s="75">
        <f>[1]!'@CTA[8-2-1-1-5-1521,F,9,#6]'+[1]!'@CTA[8-2-3-1-5-1521,F,9,#6]'</f>
        <v>0</v>
      </c>
      <c r="K950" s="76">
        <f>[1]!'@CTA[8-2-4-1-5-1521,J,9,#6]'</f>
        <v>0</v>
      </c>
      <c r="L950" s="76">
        <f>[1]!'@CTA[8-2-5-1-5-1521,J,9,#6]'</f>
        <v>0</v>
      </c>
      <c r="M950" s="76">
        <f>[1]!'@CTA[8-2-6-1-5-1521,J,9,#6]'</f>
        <v>0</v>
      </c>
      <c r="N950" s="74">
        <f>[1]!'@CTA[8-2-7-1-5-1521,F,9,#6]'</f>
        <v>0</v>
      </c>
      <c r="O950" s="66">
        <f t="shared" si="62"/>
        <v>0</v>
      </c>
    </row>
    <row r="951" spans="1:15" ht="120" x14ac:dyDescent="0.2">
      <c r="A951" s="67" t="s">
        <v>302</v>
      </c>
      <c r="B951" s="61" t="s">
        <v>152</v>
      </c>
      <c r="C951" s="61" t="s">
        <v>149</v>
      </c>
      <c r="D951" s="62" t="s">
        <v>308</v>
      </c>
      <c r="E951" s="71" t="s">
        <v>153</v>
      </c>
      <c r="F951" s="72">
        <v>1522</v>
      </c>
      <c r="G951" s="73" t="s">
        <v>171</v>
      </c>
      <c r="H951" s="74">
        <f>[1]!'@CTA[8-2-1-1-5-1522,F,9,#6]'</f>
        <v>0</v>
      </c>
      <c r="I951" s="74">
        <f>[1]!'@CTA[8-2-3-1-5-1522,F,9,#6]'</f>
        <v>0</v>
      </c>
      <c r="J951" s="75">
        <f>[1]!'@CTA[8-2-1-1-5-1522,F,9,#6]'+[1]!'@CTA[8-2-3-1-5-1522,F,9,#6]'</f>
        <v>0</v>
      </c>
      <c r="K951" s="76">
        <f>[1]!'@CTA[8-2-4-1-5-1522,J,9,#6]'</f>
        <v>0</v>
      </c>
      <c r="L951" s="76">
        <f>[1]!'@CTA[8-2-5-1-5-1522,J,9,#6]'</f>
        <v>0</v>
      </c>
      <c r="M951" s="76">
        <f>[1]!'@CTA[8-2-6-1-5-1522,J,9,#6]'</f>
        <v>0</v>
      </c>
      <c r="N951" s="74">
        <f>[1]!'@CTA[8-2-7-1-5-1522,F,9,#6]'</f>
        <v>0</v>
      </c>
      <c r="O951" s="66">
        <f t="shared" si="62"/>
        <v>0</v>
      </c>
    </row>
    <row r="952" spans="1:15" ht="120" x14ac:dyDescent="0.2">
      <c r="A952" s="67" t="s">
        <v>302</v>
      </c>
      <c r="B952" s="61" t="s">
        <v>152</v>
      </c>
      <c r="C952" s="61" t="s">
        <v>149</v>
      </c>
      <c r="D952" s="62" t="s">
        <v>308</v>
      </c>
      <c r="E952" s="71" t="s">
        <v>153</v>
      </c>
      <c r="F952" s="72">
        <v>1541</v>
      </c>
      <c r="G952" s="73" t="s">
        <v>172</v>
      </c>
      <c r="H952" s="74">
        <f>[1]!'@CTA[8-2-1-1-5-1541,F,9,#6]'</f>
        <v>154656</v>
      </c>
      <c r="I952" s="74">
        <f>[1]!'@CTA[8-2-3-1-5-1541,F,9,#6]'</f>
        <v>0</v>
      </c>
      <c r="J952" s="75">
        <f>[1]!'@CTA[8-2-1-1-5-1541,F,9,#6]'+[1]!'@CTA[8-2-3-1-5-1541,F,9,#6]'</f>
        <v>154656</v>
      </c>
      <c r="K952" s="76">
        <f>[1]!'@CTA[8-2-4-1-5-1541,J,9,#6]'</f>
        <v>34363.199999999997</v>
      </c>
      <c r="L952" s="76">
        <f>[1]!'@CTA[8-2-5-1-5-1541,J,9,#6]'</f>
        <v>34363.199999999997</v>
      </c>
      <c r="M952" s="76">
        <f>[1]!'@CTA[8-2-6-1-5-1541,J,9,#6]'</f>
        <v>34363.199999999997</v>
      </c>
      <c r="N952" s="74">
        <f>[1]!'@CTA[8-2-7-1-5-1541,F,9,#6]'</f>
        <v>34363.199999999997</v>
      </c>
      <c r="O952" s="66">
        <f t="shared" si="62"/>
        <v>120292.8</v>
      </c>
    </row>
    <row r="953" spans="1:15" ht="120" x14ac:dyDescent="0.2">
      <c r="A953" s="67" t="s">
        <v>302</v>
      </c>
      <c r="B953" s="61" t="s">
        <v>152</v>
      </c>
      <c r="C953" s="61" t="s">
        <v>149</v>
      </c>
      <c r="D953" s="62" t="s">
        <v>308</v>
      </c>
      <c r="E953" s="71" t="s">
        <v>153</v>
      </c>
      <c r="F953" s="72">
        <v>1542</v>
      </c>
      <c r="G953" s="73" t="s">
        <v>173</v>
      </c>
      <c r="H953" s="74">
        <f>[1]!'@CTA[8-2-1-1-5-1542,F,9,#6]'</f>
        <v>0</v>
      </c>
      <c r="I953" s="74">
        <f>[1]!'@CTA[8-2-3-1-5-1542,F,9,#6]'</f>
        <v>0</v>
      </c>
      <c r="J953" s="75">
        <f>[1]!'@CTA[8-2-1-1-5-1542,F,9,#6]'+[1]!'@CTA[8-2-3-1-5-1542,F,9,#6]'</f>
        <v>0</v>
      </c>
      <c r="K953" s="76">
        <f>[1]!'@CTA[8-2-4-1-5-1542,J,9,#6]'</f>
        <v>0</v>
      </c>
      <c r="L953" s="76">
        <f>[1]!'@CTA[8-2-5-1-5-1542,J,9,#6]'</f>
        <v>0</v>
      </c>
      <c r="M953" s="76">
        <f>[1]!'@CTA[8-2-6-1-5-1542,J,9,#6]'</f>
        <v>0</v>
      </c>
      <c r="N953" s="74">
        <f>[1]!'@CTA[8-2-7-1-5-1542,F,9,#6]'</f>
        <v>4.5474735088646412E-13</v>
      </c>
      <c r="O953" s="66">
        <f t="shared" si="62"/>
        <v>0</v>
      </c>
    </row>
    <row r="954" spans="1:15" ht="120" x14ac:dyDescent="0.2">
      <c r="A954" s="67" t="s">
        <v>302</v>
      </c>
      <c r="B954" s="61" t="s">
        <v>152</v>
      </c>
      <c r="C954" s="61" t="s">
        <v>149</v>
      </c>
      <c r="D954" s="62" t="s">
        <v>308</v>
      </c>
      <c r="E954" s="71" t="s">
        <v>153</v>
      </c>
      <c r="F954" s="72">
        <v>1543</v>
      </c>
      <c r="G954" s="73" t="s">
        <v>174</v>
      </c>
      <c r="H954" s="74">
        <f>[1]!'@CTA[8-2-1-1-5-1543,F,9,#6]'</f>
        <v>0</v>
      </c>
      <c r="I954" s="74">
        <f>[1]!'@CTA[8-2-3-1-5-1543,F,9,#6]'</f>
        <v>0</v>
      </c>
      <c r="J954" s="75">
        <f>[1]!'@CTA[8-2-1-1-5-1543,F,9,#6]'+[1]!'@CTA[8-2-3-1-5-1543,F,9,#6]'</f>
        <v>0</v>
      </c>
      <c r="K954" s="76">
        <f>[1]!'@CTA[8-2-4-1-5-1543,J,9,#6]'</f>
        <v>0</v>
      </c>
      <c r="L954" s="76">
        <f>[1]!'@CTA[8-2-5-1-5-1543,J,9,#6]'</f>
        <v>0</v>
      </c>
      <c r="M954" s="76">
        <f>[1]!'@CTA[8-2-6-1-5-1543,J,9,#6]'</f>
        <v>0</v>
      </c>
      <c r="N954" s="74">
        <f>[1]!'@CTA[8-2-7-1-5-1543,F,9,#6]'</f>
        <v>0</v>
      </c>
      <c r="O954" s="66">
        <f t="shared" si="62"/>
        <v>0</v>
      </c>
    </row>
    <row r="955" spans="1:15" ht="120" x14ac:dyDescent="0.2">
      <c r="A955" s="67" t="s">
        <v>302</v>
      </c>
      <c r="B955" s="61" t="s">
        <v>152</v>
      </c>
      <c r="C955" s="61" t="s">
        <v>149</v>
      </c>
      <c r="D955" s="62" t="s">
        <v>308</v>
      </c>
      <c r="E955" s="71" t="s">
        <v>153</v>
      </c>
      <c r="F955" s="72">
        <v>1544</v>
      </c>
      <c r="G955" s="73" t="s">
        <v>175</v>
      </c>
      <c r="H955" s="74">
        <f>[1]!'@CTA[8-2-1-1-5-1544,F,9,#6]'</f>
        <v>0</v>
      </c>
      <c r="I955" s="74">
        <f>[1]!'@CTA[8-2-3-1-5-1544,F,9,#6]'</f>
        <v>0</v>
      </c>
      <c r="J955" s="75">
        <f>[1]!'@CTA[8-2-1-1-5-1544,F,9,#6]'+[1]!'@CTA[8-2-3-1-5-1544,F,9,#6]'</f>
        <v>0</v>
      </c>
      <c r="K955" s="76">
        <f>[1]!'@CTA[8-2-4-1-5-1544,J,9,#6]'</f>
        <v>0</v>
      </c>
      <c r="L955" s="76">
        <f>[1]!'@CTA[8-2-5-1-5-1544,J,9,#6]'</f>
        <v>0</v>
      </c>
      <c r="M955" s="76">
        <f>[1]!'@CTA[8-2-6-1-5-1544,J,9,#6]'</f>
        <v>0</v>
      </c>
      <c r="N955" s="74">
        <f>[1]!'@CTA[8-2-7-1-5-1544,F,9,#6]'</f>
        <v>0</v>
      </c>
      <c r="O955" s="66">
        <f t="shared" si="62"/>
        <v>0</v>
      </c>
    </row>
    <row r="956" spans="1:15" ht="120" x14ac:dyDescent="0.2">
      <c r="A956" s="67" t="s">
        <v>302</v>
      </c>
      <c r="B956" s="61"/>
      <c r="C956" s="61" t="s">
        <v>149</v>
      </c>
      <c r="D956" s="62" t="s">
        <v>308</v>
      </c>
      <c r="E956" s="61"/>
      <c r="F956" s="63">
        <v>2000</v>
      </c>
      <c r="G956" s="77" t="s">
        <v>176</v>
      </c>
      <c r="H956" s="69">
        <f t="shared" ref="H956:N956" si="67">SUBTOTAL(9,H957:H981)</f>
        <v>56765</v>
      </c>
      <c r="I956" s="69">
        <f t="shared" si="67"/>
        <v>0.01</v>
      </c>
      <c r="J956" s="69">
        <f t="shared" si="67"/>
        <v>56765.009999999995</v>
      </c>
      <c r="K956" s="70">
        <f t="shared" si="67"/>
        <v>12418.36</v>
      </c>
      <c r="L956" s="70">
        <f t="shared" si="67"/>
        <v>12418.36</v>
      </c>
      <c r="M956" s="70">
        <f t="shared" si="67"/>
        <v>12418.36</v>
      </c>
      <c r="N956" s="69">
        <f t="shared" si="67"/>
        <v>11577.299999999996</v>
      </c>
      <c r="O956" s="66">
        <f t="shared" si="62"/>
        <v>44346.649999999994</v>
      </c>
    </row>
    <row r="957" spans="1:15" ht="120" x14ac:dyDescent="0.2">
      <c r="A957" s="67" t="s">
        <v>302</v>
      </c>
      <c r="B957" s="61" t="s">
        <v>152</v>
      </c>
      <c r="C957" s="61" t="s">
        <v>149</v>
      </c>
      <c r="D957" s="62" t="s">
        <v>308</v>
      </c>
      <c r="E957" s="71" t="s">
        <v>177</v>
      </c>
      <c r="F957" s="72">
        <v>2111</v>
      </c>
      <c r="G957" s="73" t="s">
        <v>178</v>
      </c>
      <c r="H957" s="74">
        <f>[1]!'@CTA[8-2-1-2-1-2111,F,9,#6]'</f>
        <v>16339</v>
      </c>
      <c r="I957" s="74">
        <f>[1]!'@CTA[8-2-3-2-1-2111,F,9,#6]'</f>
        <v>0</v>
      </c>
      <c r="J957" s="75">
        <f>[1]!'@CTA[8-2-1-2-1-2111,F,9,#6]'+[1]!'@CTA[8-2-3-2-1-2111,F,9,#6]'</f>
        <v>16339</v>
      </c>
      <c r="K957" s="76">
        <f>[1]!'@CTA[8-2-4-2-1-2111,J,9,#6]'</f>
        <v>1997.9500000000003</v>
      </c>
      <c r="L957" s="76">
        <f>[1]!'@CTA[8-2-5-2-1-2111,J,9,#6]'</f>
        <v>1997.9500000000003</v>
      </c>
      <c r="M957" s="76">
        <f>[1]!'@CTA[8-2-6-2-1-2111,J,9,#6]'</f>
        <v>1997.9500000000003</v>
      </c>
      <c r="N957" s="74">
        <f>[1]!'@CTA[8-2-7-2-1-2111,F,9,#6]'</f>
        <v>1997.9500000000003</v>
      </c>
      <c r="O957" s="66">
        <f t="shared" si="62"/>
        <v>14341.05</v>
      </c>
    </row>
    <row r="958" spans="1:15" ht="120" x14ac:dyDescent="0.2">
      <c r="A958" s="67" t="s">
        <v>302</v>
      </c>
      <c r="B958" s="61" t="s">
        <v>152</v>
      </c>
      <c r="C958" s="61" t="s">
        <v>149</v>
      </c>
      <c r="D958" s="62" t="s">
        <v>308</v>
      </c>
      <c r="E958" s="71" t="s">
        <v>177</v>
      </c>
      <c r="F958" s="72">
        <v>2121</v>
      </c>
      <c r="G958" s="73" t="s">
        <v>179</v>
      </c>
      <c r="H958" s="74">
        <f>[1]!'@CTA[8-2-1-2-1-2121,F,9,#6]'</f>
        <v>3724</v>
      </c>
      <c r="I958" s="74">
        <f>[1]!'@CTA[8-2-3-2-1-2121,F,9,#6]'</f>
        <v>0</v>
      </c>
      <c r="J958" s="75">
        <f>[1]!'@CTA[8-2-1-2-1-2121,F,9,#6]'+[1]!'@CTA[8-2-3-2-1-2121,F,9,#6]'</f>
        <v>3724</v>
      </c>
      <c r="K958" s="76">
        <f>[1]!'@CTA[8-2-4-2-1-2121,J,9,#6]'</f>
        <v>491.46</v>
      </c>
      <c r="L958" s="76">
        <f>[1]!'@CTA[8-2-5-2-1-2121,J,9,#6]'</f>
        <v>491.46</v>
      </c>
      <c r="M958" s="76">
        <f>[1]!'@CTA[8-2-6-2-1-2121,J,9,#6]'</f>
        <v>491.46</v>
      </c>
      <c r="N958" s="74">
        <f>[1]!'@CTA[8-2-7-2-1-2121,F,9,#6]'</f>
        <v>491.46</v>
      </c>
      <c r="O958" s="66">
        <f t="shared" si="62"/>
        <v>3232.54</v>
      </c>
    </row>
    <row r="959" spans="1:15" ht="120" x14ac:dyDescent="0.2">
      <c r="A959" s="67" t="s">
        <v>302</v>
      </c>
      <c r="B959" s="61" t="s">
        <v>152</v>
      </c>
      <c r="C959" s="61" t="s">
        <v>149</v>
      </c>
      <c r="D959" s="62" t="s">
        <v>308</v>
      </c>
      <c r="E959" s="71" t="s">
        <v>177</v>
      </c>
      <c r="F959" s="72">
        <v>2131</v>
      </c>
      <c r="G959" s="73" t="s">
        <v>180</v>
      </c>
      <c r="H959" s="74">
        <f>[1]!'@CTA[8-2-1-2-1-2131,F,9,#6]'</f>
        <v>0</v>
      </c>
      <c r="I959" s="74">
        <f>[1]!'@CTA[8-2-3-2-1-2131,F,9,#6]'</f>
        <v>0</v>
      </c>
      <c r="J959" s="75">
        <f>[1]!'@CTA[8-2-1-2-1-2131,F,9,#6]'+[1]!'@CTA[8-2-3-2-1-2131,F,9,#6]'</f>
        <v>0</v>
      </c>
      <c r="K959" s="76">
        <f>[1]!'@CTA[8-2-4-2-1-2131,J,9,#6]'</f>
        <v>0</v>
      </c>
      <c r="L959" s="76">
        <f>[1]!'@CTA[8-2-5-2-1-2131,J,9,#6]'</f>
        <v>0</v>
      </c>
      <c r="M959" s="76">
        <f>[1]!'@CTA[8-2-6-2-1-2131,J,9,#6]'</f>
        <v>0</v>
      </c>
      <c r="N959" s="74">
        <f>[1]!'@CTA[8-2-7-2-1-2131,F,9,#6]'</f>
        <v>0</v>
      </c>
      <c r="O959" s="66">
        <f t="shared" si="62"/>
        <v>0</v>
      </c>
    </row>
    <row r="960" spans="1:15" ht="120" x14ac:dyDescent="0.2">
      <c r="A960" s="67" t="s">
        <v>302</v>
      </c>
      <c r="B960" s="61" t="s">
        <v>152</v>
      </c>
      <c r="C960" s="61" t="s">
        <v>149</v>
      </c>
      <c r="D960" s="62" t="s">
        <v>308</v>
      </c>
      <c r="E960" s="71" t="s">
        <v>177</v>
      </c>
      <c r="F960" s="72">
        <v>2141</v>
      </c>
      <c r="G960" s="73" t="s">
        <v>181</v>
      </c>
      <c r="H960" s="74">
        <f>[1]!'@CTA[8-2-1-2-1-2141,F,9,#6]'</f>
        <v>528</v>
      </c>
      <c r="I960" s="74">
        <f>[1]!'@CTA[8-2-3-2-1-2141,F,9,#6]'</f>
        <v>0</v>
      </c>
      <c r="J960" s="75">
        <f>[1]!'@CTA[8-2-1-2-1-2141,F,9,#6]'+[1]!'@CTA[8-2-3-2-1-2141,F,9,#6]'</f>
        <v>528</v>
      </c>
      <c r="K960" s="76">
        <f>[1]!'@CTA[8-2-4-2-1-2141,J,9,#6]'</f>
        <v>0</v>
      </c>
      <c r="L960" s="76">
        <f>[1]!'@CTA[8-2-5-2-1-2141,J,9,#6]'</f>
        <v>0</v>
      </c>
      <c r="M960" s="76">
        <f>[1]!'@CTA[8-2-6-2-1-2141,J,9,#6]'</f>
        <v>0</v>
      </c>
      <c r="N960" s="74">
        <f>[1]!'@CTA[8-2-7-2-1-2141,F,9,#6]'</f>
        <v>0</v>
      </c>
      <c r="O960" s="66">
        <f t="shared" si="62"/>
        <v>528</v>
      </c>
    </row>
    <row r="961" spans="1:15" ht="120" x14ac:dyDescent="0.2">
      <c r="A961" s="67" t="s">
        <v>302</v>
      </c>
      <c r="B961" s="61" t="s">
        <v>152</v>
      </c>
      <c r="C961" s="61" t="s">
        <v>149</v>
      </c>
      <c r="D961" s="62" t="s">
        <v>308</v>
      </c>
      <c r="E961" s="71" t="s">
        <v>177</v>
      </c>
      <c r="F961" s="72">
        <v>2151</v>
      </c>
      <c r="G961" s="73" t="s">
        <v>182</v>
      </c>
      <c r="H961" s="74">
        <f>[1]!'@CTA[8-2-1-2-1-2151,F,9,#6]'</f>
        <v>0</v>
      </c>
      <c r="I961" s="74">
        <f>[1]!'@CTA[8-2-3-2-1-2151,F,9,#6]'</f>
        <v>0</v>
      </c>
      <c r="J961" s="75">
        <f>[1]!'@CTA[8-2-1-2-1-2151,F,9,#6]'+[1]!'@CTA[8-2-3-2-1-2151,F,9,#6]'</f>
        <v>0</v>
      </c>
      <c r="K961" s="76">
        <f>[1]!'@CTA[8-2-4-2-1-2151,J,9,#6]'</f>
        <v>0</v>
      </c>
      <c r="L961" s="76">
        <f>[1]!'@CTA[8-2-5-2-1-2151,J,9,#6]'</f>
        <v>0</v>
      </c>
      <c r="M961" s="76">
        <f>[1]!'@CTA[8-2-6-2-1-2151,J,9,#6]'</f>
        <v>0</v>
      </c>
      <c r="N961" s="74">
        <f>[1]!'@CTA[8-2-7-2-1-2151,F,9,#6]'</f>
        <v>0</v>
      </c>
      <c r="O961" s="66">
        <f t="shared" si="62"/>
        <v>0</v>
      </c>
    </row>
    <row r="962" spans="1:15" ht="120" x14ac:dyDescent="0.2">
      <c r="A962" s="67" t="s">
        <v>302</v>
      </c>
      <c r="B962" s="61" t="s">
        <v>152</v>
      </c>
      <c r="C962" s="61" t="s">
        <v>149</v>
      </c>
      <c r="D962" s="62" t="s">
        <v>308</v>
      </c>
      <c r="E962" s="71" t="s">
        <v>177</v>
      </c>
      <c r="F962" s="72">
        <v>2161</v>
      </c>
      <c r="G962" s="73" t="s">
        <v>183</v>
      </c>
      <c r="H962" s="74">
        <f>[1]!'@CTA[8-2-1-2-1-2161,F,9,#6]'</f>
        <v>0</v>
      </c>
      <c r="I962" s="74">
        <f>[1]!'@CTA[8-2-3-2-1-2161,F,9,#6]'</f>
        <v>0</v>
      </c>
      <c r="J962" s="75">
        <f>[1]!'@CTA[8-2-1-2-1-2161,F,9,#6]'+[1]!'@CTA[8-2-3-2-1-2161,F,9,#6]'</f>
        <v>0</v>
      </c>
      <c r="K962" s="76">
        <f>[1]!'@CTA[8-2-4-2-1-2161,J,9,#6]'</f>
        <v>0</v>
      </c>
      <c r="L962" s="76">
        <f>[1]!'@CTA[8-2-5-2-1-2161,J,9,#6]'</f>
        <v>0</v>
      </c>
      <c r="M962" s="76">
        <f>[1]!'@CTA[8-2-6-2-1-2161,J,9,#6]'</f>
        <v>0</v>
      </c>
      <c r="N962" s="74">
        <f>[1]!'@CTA[8-2-7-2-1-2161,F,9,#6]'</f>
        <v>0</v>
      </c>
      <c r="O962" s="66">
        <f t="shared" si="62"/>
        <v>0</v>
      </c>
    </row>
    <row r="963" spans="1:15" ht="120" x14ac:dyDescent="0.2">
      <c r="A963" s="67" t="s">
        <v>302</v>
      </c>
      <c r="B963" s="61" t="s">
        <v>152</v>
      </c>
      <c r="C963" s="61" t="s">
        <v>149</v>
      </c>
      <c r="D963" s="62" t="s">
        <v>308</v>
      </c>
      <c r="E963" s="71" t="s">
        <v>177</v>
      </c>
      <c r="F963" s="72">
        <v>2171</v>
      </c>
      <c r="G963" s="73" t="s">
        <v>184</v>
      </c>
      <c r="H963" s="74">
        <f>[1]!'@CTA[8-2-1-2-1-2171,F,9,#6]'</f>
        <v>0</v>
      </c>
      <c r="I963" s="74">
        <f>[1]!'@CTA[8-2-3-2-1-2171,F,9,#6]'</f>
        <v>0</v>
      </c>
      <c r="J963" s="75">
        <f>[1]!'@CTA[8-2-1-2-1-2171,F,9,#6]'+[1]!'@CTA[8-2-3-2-1-2171,F,9,#6]'</f>
        <v>0</v>
      </c>
      <c r="K963" s="76">
        <f>[1]!'@CTA[8-2-4-2-1-2171,J,9,#6]'</f>
        <v>0</v>
      </c>
      <c r="L963" s="76">
        <f>[1]!'@CTA[8-2-5-2-1-2171,J,9,#6]'</f>
        <v>0</v>
      </c>
      <c r="M963" s="76">
        <f>[1]!'@CTA[8-2-6-2-1-2171,J,9,#6]'</f>
        <v>0</v>
      </c>
      <c r="N963" s="74">
        <f>[1]!'@CTA[8-2-7-2-1-2171,F,9,#6]'</f>
        <v>0</v>
      </c>
      <c r="O963" s="66">
        <f t="shared" si="62"/>
        <v>0</v>
      </c>
    </row>
    <row r="964" spans="1:15" ht="120" x14ac:dyDescent="0.2">
      <c r="A964" s="67" t="s">
        <v>302</v>
      </c>
      <c r="B964" s="61" t="s">
        <v>152</v>
      </c>
      <c r="C964" s="61" t="s">
        <v>149</v>
      </c>
      <c r="D964" s="62" t="s">
        <v>308</v>
      </c>
      <c r="E964" s="71" t="s">
        <v>177</v>
      </c>
      <c r="F964" s="72">
        <v>2211</v>
      </c>
      <c r="G964" s="73" t="s">
        <v>185</v>
      </c>
      <c r="H964" s="74">
        <f>[1]!'@CTA[8-2-1-2-2-2211,F,9,#6]'</f>
        <v>0</v>
      </c>
      <c r="I964" s="74">
        <f>[1]!'@CTA[8-2-3-2-2-2211,F,9,#6]'</f>
        <v>0</v>
      </c>
      <c r="J964" s="75">
        <f>[1]!'@CTA[8-2-1-2-2-2211,F,9,#6]'+[1]!'@CTA[8-2-3-2-2-2211,F,9,#6]'</f>
        <v>0</v>
      </c>
      <c r="K964" s="76">
        <f>[1]!'@CTA[8-2-4-2-2-2211,J,9,#6]'</f>
        <v>0</v>
      </c>
      <c r="L964" s="76">
        <f>[1]!'@CTA[8-2-5-2-2-2211,J,9,#6]'</f>
        <v>0</v>
      </c>
      <c r="M964" s="76">
        <f>[1]!'@CTA[8-2-6-2-2-2211,J,9,#6]'</f>
        <v>0</v>
      </c>
      <c r="N964" s="74">
        <f>[1]!'@CTA[8-2-7-2-2-2211,F,9,#6]'</f>
        <v>0</v>
      </c>
      <c r="O964" s="66">
        <f t="shared" si="62"/>
        <v>0</v>
      </c>
    </row>
    <row r="965" spans="1:15" ht="120" x14ac:dyDescent="0.2">
      <c r="A965" s="67" t="s">
        <v>302</v>
      </c>
      <c r="B965" s="61" t="s">
        <v>152</v>
      </c>
      <c r="C965" s="61" t="s">
        <v>149</v>
      </c>
      <c r="D965" s="62" t="s">
        <v>308</v>
      </c>
      <c r="E965" s="71" t="s">
        <v>177</v>
      </c>
      <c r="F965" s="72">
        <v>2231</v>
      </c>
      <c r="G965" s="73" t="s">
        <v>186</v>
      </c>
      <c r="H965" s="74">
        <f>[1]!'@CTA[8-2-1-2-2-2231,F,9,#6]'</f>
        <v>1008</v>
      </c>
      <c r="I965" s="74">
        <f>[1]!'@CTA[8-2-3-2-2-2231,F,9,#6]'</f>
        <v>0.01</v>
      </c>
      <c r="J965" s="75">
        <f>[1]!'@CTA[8-2-1-2-2-2231,F,9,#6]'+[1]!'@CTA[8-2-3-2-2-2231,F,9,#6]'</f>
        <v>1008.01</v>
      </c>
      <c r="K965" s="76">
        <f>[1]!'@CTA[8-2-4-2-2-2231,J,9,#6]'</f>
        <v>386.20000000000005</v>
      </c>
      <c r="L965" s="76">
        <f>[1]!'@CTA[8-2-5-2-2-2231,J,9,#6]'</f>
        <v>386.20000000000005</v>
      </c>
      <c r="M965" s="76">
        <f>[1]!'@CTA[8-2-6-2-2-2231,J,9,#6]'</f>
        <v>386.20000000000005</v>
      </c>
      <c r="N965" s="74">
        <f>[1]!'@CTA[8-2-7-2-2-2231,F,9,#6]'</f>
        <v>326.96999999999986</v>
      </c>
      <c r="O965" s="66">
        <f t="shared" si="62"/>
        <v>621.80999999999995</v>
      </c>
    </row>
    <row r="966" spans="1:15" ht="120" x14ac:dyDescent="0.2">
      <c r="A966" s="67" t="s">
        <v>302</v>
      </c>
      <c r="B966" s="61" t="s">
        <v>152</v>
      </c>
      <c r="C966" s="61" t="s">
        <v>149</v>
      </c>
      <c r="D966" s="62" t="s">
        <v>308</v>
      </c>
      <c r="E966" s="71" t="s">
        <v>177</v>
      </c>
      <c r="F966" s="72">
        <v>2411</v>
      </c>
      <c r="G966" s="73" t="s">
        <v>187</v>
      </c>
      <c r="H966" s="74">
        <f>[1]!'@CTA[8-2-1-2-4-2411,F,9,#6]'</f>
        <v>0</v>
      </c>
      <c r="I966" s="74">
        <f>[1]!'@CTA[8-2-3-2-4-2411,F,9,#6]'</f>
        <v>0</v>
      </c>
      <c r="J966" s="75">
        <f>[1]!'@CTA[8-2-1-2-4-2411,F,9,#6]'+[1]!'@CTA[8-2-3-2-4-2411,F,9,#6]'</f>
        <v>0</v>
      </c>
      <c r="K966" s="76">
        <f>[1]!'@CTA[8-2-4-2-4-2411,J,9,#6]'</f>
        <v>0</v>
      </c>
      <c r="L966" s="76">
        <f>[1]!'@CTA[8-2-5-2-4-2411,J,9,#6]'</f>
        <v>0</v>
      </c>
      <c r="M966" s="76">
        <f>[1]!'@CTA[8-2-6-2-4-2411,J,9,#6]'</f>
        <v>0</v>
      </c>
      <c r="N966" s="74">
        <f>[1]!'@CTA[8-2-7-2-4-2411,F,9,#6]'</f>
        <v>0</v>
      </c>
      <c r="O966" s="66">
        <f t="shared" si="62"/>
        <v>0</v>
      </c>
    </row>
    <row r="967" spans="1:15" ht="120" x14ac:dyDescent="0.2">
      <c r="A967" s="67" t="s">
        <v>302</v>
      </c>
      <c r="B967" s="61" t="s">
        <v>152</v>
      </c>
      <c r="C967" s="61" t="s">
        <v>149</v>
      </c>
      <c r="D967" s="62" t="s">
        <v>308</v>
      </c>
      <c r="E967" s="71" t="s">
        <v>177</v>
      </c>
      <c r="F967" s="72">
        <v>2461</v>
      </c>
      <c r="G967" s="73" t="s">
        <v>188</v>
      </c>
      <c r="H967" s="74">
        <f>[1]!'@CTA[8-2-1-2-4-2461,F,9,#6]'</f>
        <v>920</v>
      </c>
      <c r="I967" s="74">
        <f>[1]!'@CTA[8-2-3-2-4-2461,F,9,#6]'</f>
        <v>0</v>
      </c>
      <c r="J967" s="75">
        <f>[1]!'@CTA[8-2-1-2-4-2461,F,9,#6]'+[1]!'@CTA[8-2-3-2-4-2461,F,9,#6]'</f>
        <v>920</v>
      </c>
      <c r="K967" s="76">
        <f>[1]!'@CTA[8-2-4-2-4-2461,J,9,#6]'</f>
        <v>0</v>
      </c>
      <c r="L967" s="76">
        <f>[1]!'@CTA[8-2-5-2-4-2461,J,9,#6]'</f>
        <v>0</v>
      </c>
      <c r="M967" s="76">
        <f>[1]!'@CTA[8-2-6-2-4-2461,J,9,#6]'</f>
        <v>0</v>
      </c>
      <c r="N967" s="74">
        <f>[1]!'@CTA[8-2-7-2-4-2461,F,9,#6]'</f>
        <v>0</v>
      </c>
      <c r="O967" s="66">
        <f t="shared" si="62"/>
        <v>920</v>
      </c>
    </row>
    <row r="968" spans="1:15" ht="120" x14ac:dyDescent="0.2">
      <c r="A968" s="67" t="s">
        <v>302</v>
      </c>
      <c r="B968" s="61" t="s">
        <v>152</v>
      </c>
      <c r="C968" s="61" t="s">
        <v>149</v>
      </c>
      <c r="D968" s="62" t="s">
        <v>308</v>
      </c>
      <c r="E968" s="71" t="s">
        <v>177</v>
      </c>
      <c r="F968" s="72">
        <v>2471</v>
      </c>
      <c r="G968" s="73" t="s">
        <v>189</v>
      </c>
      <c r="H968" s="74">
        <f>[1]!'@CTA[8-2-1-2-4-2471,F,9,#6]'</f>
        <v>0</v>
      </c>
      <c r="I968" s="74">
        <f>[1]!'@CTA[8-2-3-2-4-2471,F,9,#6]'</f>
        <v>0</v>
      </c>
      <c r="J968" s="75">
        <f>[1]!'@CTA[8-2-1-2-4-2471,F,9,#6]'+[1]!'@CTA[8-2-3-2-4-2471,F,9,#6]'</f>
        <v>0</v>
      </c>
      <c r="K968" s="76">
        <f>[1]!'@CTA[8-2-4-2-4-2471,J,9,#6]'</f>
        <v>0</v>
      </c>
      <c r="L968" s="76">
        <f>[1]!'@CTA[8-2-5-2-4-2471,J,9,#6]'</f>
        <v>0</v>
      </c>
      <c r="M968" s="76">
        <f>[1]!'@CTA[8-2-6-2-4-2471,J,9,#6]'</f>
        <v>0</v>
      </c>
      <c r="N968" s="74">
        <f>[1]!'@CTA[8-2-7-2-4-2471,F,9,#6]'</f>
        <v>0</v>
      </c>
      <c r="O968" s="66">
        <f t="shared" si="62"/>
        <v>0</v>
      </c>
    </row>
    <row r="969" spans="1:15" ht="120" x14ac:dyDescent="0.2">
      <c r="A969" s="67" t="s">
        <v>302</v>
      </c>
      <c r="B969" s="61" t="s">
        <v>152</v>
      </c>
      <c r="C969" s="61" t="s">
        <v>149</v>
      </c>
      <c r="D969" s="62" t="s">
        <v>308</v>
      </c>
      <c r="E969" s="71" t="s">
        <v>177</v>
      </c>
      <c r="F969" s="72">
        <v>2481</v>
      </c>
      <c r="G969" s="73" t="s">
        <v>190</v>
      </c>
      <c r="H969" s="74">
        <f>[1]!'@CTA[8-2-1-2-4-2481,F,9,#6]'</f>
        <v>0</v>
      </c>
      <c r="I969" s="74">
        <f>[1]!'@CTA[8-2-3-2-4-2481,F,9,#6]'</f>
        <v>0</v>
      </c>
      <c r="J969" s="75">
        <f>[1]!'@CTA[8-2-1-2-4-2481,F,9,#6]'+[1]!'@CTA[8-2-3-2-4-2481,F,9,#6]'</f>
        <v>0</v>
      </c>
      <c r="K969" s="76">
        <f>[1]!'@CTA[8-2-4-2-4-2481,J,9,#6]'</f>
        <v>0</v>
      </c>
      <c r="L969" s="76">
        <f>[1]!'@CTA[8-2-5-2-4-2481,J,9,#6]'</f>
        <v>0</v>
      </c>
      <c r="M969" s="76">
        <f>[1]!'@CTA[8-2-6-2-4-2481,J,9,#6]'</f>
        <v>0</v>
      </c>
      <c r="N969" s="74">
        <f>[1]!'@CTA[8-2-7-2-4-2481,F,9,#6]'</f>
        <v>0</v>
      </c>
      <c r="O969" s="66">
        <f t="shared" si="62"/>
        <v>0</v>
      </c>
    </row>
    <row r="970" spans="1:15" ht="120" x14ac:dyDescent="0.2">
      <c r="A970" s="67" t="s">
        <v>302</v>
      </c>
      <c r="B970" s="61" t="s">
        <v>152</v>
      </c>
      <c r="C970" s="61" t="s">
        <v>149</v>
      </c>
      <c r="D970" s="62" t="s">
        <v>308</v>
      </c>
      <c r="E970" s="71" t="s">
        <v>177</v>
      </c>
      <c r="F970" s="72">
        <v>2491</v>
      </c>
      <c r="G970" s="73" t="s">
        <v>191</v>
      </c>
      <c r="H970" s="74">
        <f>[1]!'@CTA[8-2-1-2-4-2491,F,9,#6]'</f>
        <v>0</v>
      </c>
      <c r="I970" s="74">
        <f>[1]!'@CTA[8-2-3-2-4-2491,F,9,#6]'</f>
        <v>0</v>
      </c>
      <c r="J970" s="75">
        <f>[1]!'@CTA[8-2-1-2-4-2491,F,9,#6]'+[1]!'@CTA[8-2-3-2-4-2491,F,9,#6]'</f>
        <v>0</v>
      </c>
      <c r="K970" s="76">
        <f>[1]!'@CTA[8-2-4-2-4-2491,J,9,#6]'</f>
        <v>0</v>
      </c>
      <c r="L970" s="76">
        <f>[1]!'@CTA[8-2-5-2-4-2491,J,9,#6]'</f>
        <v>0</v>
      </c>
      <c r="M970" s="76">
        <f>[1]!'@CTA[8-2-6-2-4-2491,J,9,#6]'</f>
        <v>0</v>
      </c>
      <c r="N970" s="74">
        <f>[1]!'@CTA[8-2-7-2-4-2491,F,9,#6]'</f>
        <v>0</v>
      </c>
      <c r="O970" s="66">
        <f t="shared" ref="O970:O1033" si="68">J970-L970</f>
        <v>0</v>
      </c>
    </row>
    <row r="971" spans="1:15" ht="120" x14ac:dyDescent="0.2">
      <c r="A971" s="67" t="s">
        <v>302</v>
      </c>
      <c r="B971" s="61" t="s">
        <v>152</v>
      </c>
      <c r="C971" s="61" t="s">
        <v>149</v>
      </c>
      <c r="D971" s="62" t="s">
        <v>308</v>
      </c>
      <c r="E971" s="71" t="s">
        <v>177</v>
      </c>
      <c r="F971" s="72">
        <v>2492</v>
      </c>
      <c r="G971" s="73" t="s">
        <v>192</v>
      </c>
      <c r="H971" s="74">
        <f>[1]!'@CTA[8-2-1-2-4-2492,F,9,#6]'</f>
        <v>0</v>
      </c>
      <c r="I971" s="74">
        <f>[1]!'@CTA[8-2-3-2-4-2492,F,9,#6]'</f>
        <v>0</v>
      </c>
      <c r="J971" s="75">
        <f>[1]!'@CTA[8-2-1-2-4-2492,F,9,#6]'+[1]!'@CTA[8-2-3-2-4-2492,F,9,#6]'</f>
        <v>0</v>
      </c>
      <c r="K971" s="76">
        <f>[1]!'@CTA[8-2-4-2-4-2492,J,9,#6]'</f>
        <v>0</v>
      </c>
      <c r="L971" s="76">
        <f>[1]!'@CTA[8-2-5-2-4-2492,J,9,#6]'</f>
        <v>0</v>
      </c>
      <c r="M971" s="76">
        <f>[1]!'@CTA[8-2-6-2-4-2492,J,9,#6]'</f>
        <v>0</v>
      </c>
      <c r="N971" s="74">
        <f>[1]!'@CTA[8-2-7-2-4-2492,F,9,#6]'</f>
        <v>0</v>
      </c>
      <c r="O971" s="66">
        <f t="shared" si="68"/>
        <v>0</v>
      </c>
    </row>
    <row r="972" spans="1:15" ht="120" x14ac:dyDescent="0.2">
      <c r="A972" s="67" t="s">
        <v>302</v>
      </c>
      <c r="B972" s="61" t="s">
        <v>152</v>
      </c>
      <c r="C972" s="61" t="s">
        <v>149</v>
      </c>
      <c r="D972" s="62" t="s">
        <v>308</v>
      </c>
      <c r="E972" s="71" t="s">
        <v>177</v>
      </c>
      <c r="F972" s="72">
        <v>2531</v>
      </c>
      <c r="G972" s="73" t="s">
        <v>193</v>
      </c>
      <c r="H972" s="74">
        <f>[1]!'@CTA[8-2-1-2-5-2531,F,9,#6]'</f>
        <v>0</v>
      </c>
      <c r="I972" s="74">
        <f>[1]!'@CTA[8-2-3-2-5-2531,F,9,#6]'</f>
        <v>0</v>
      </c>
      <c r="J972" s="75">
        <f>[1]!'@CTA[8-2-1-2-5-2531,F,9,#6]'+[1]!'@CTA[8-2-3-2-5-2531,F,9,#6]'</f>
        <v>0</v>
      </c>
      <c r="K972" s="76">
        <f>[1]!'@CTA[8-2-4-2-5-2531,J,9,#6]'</f>
        <v>0</v>
      </c>
      <c r="L972" s="76">
        <f>[1]!'@CTA[8-2-5-2-5-2531,J,9,#6]'</f>
        <v>0</v>
      </c>
      <c r="M972" s="76">
        <f>[1]!'@CTA[8-2-6-2-5-2531,J,9,#6]'</f>
        <v>0</v>
      </c>
      <c r="N972" s="74">
        <f>[1]!'@CTA[8-2-7-2-5-2531,F,9,#6]'</f>
        <v>0</v>
      </c>
      <c r="O972" s="66">
        <f t="shared" si="68"/>
        <v>0</v>
      </c>
    </row>
    <row r="973" spans="1:15" ht="120" x14ac:dyDescent="0.2">
      <c r="A973" s="67" t="s">
        <v>302</v>
      </c>
      <c r="B973" s="61" t="s">
        <v>152</v>
      </c>
      <c r="C973" s="61" t="s">
        <v>149</v>
      </c>
      <c r="D973" s="62" t="s">
        <v>308</v>
      </c>
      <c r="E973" s="71" t="s">
        <v>177</v>
      </c>
      <c r="F973" s="72">
        <v>2551</v>
      </c>
      <c r="G973" s="73" t="s">
        <v>194</v>
      </c>
      <c r="H973" s="74">
        <f>[1]!'@CTA[8-2-1-2-5-2551,F,9,#6]'</f>
        <v>0</v>
      </c>
      <c r="I973" s="74">
        <f>[1]!'@CTA[8-2-3-2-5-2551,F,9,#6]'</f>
        <v>0</v>
      </c>
      <c r="J973" s="75">
        <f>[1]!'@CTA[8-2-1-2-5-2551,F,9,#6]'+[1]!'@CTA[8-2-3-2-5-2551,F,9,#6]'</f>
        <v>0</v>
      </c>
      <c r="K973" s="76">
        <f>[1]!'@CTA[8-2-4-2-5-2551,J,9,#6]'</f>
        <v>0</v>
      </c>
      <c r="L973" s="76">
        <f>[1]!'@CTA[8-2-5-2-5-2551,J,9,#6]'</f>
        <v>0</v>
      </c>
      <c r="M973" s="76">
        <f>[1]!'@CTA[8-2-6-2-5-2551,J,9,#6]'</f>
        <v>0</v>
      </c>
      <c r="N973" s="74">
        <f>[1]!'@CTA[8-2-7-2-5-2551,F,9,#6]'</f>
        <v>0</v>
      </c>
      <c r="O973" s="66">
        <f t="shared" si="68"/>
        <v>0</v>
      </c>
    </row>
    <row r="974" spans="1:15" ht="120" x14ac:dyDescent="0.2">
      <c r="A974" s="67" t="s">
        <v>302</v>
      </c>
      <c r="B974" s="61" t="s">
        <v>152</v>
      </c>
      <c r="C974" s="61" t="s">
        <v>149</v>
      </c>
      <c r="D974" s="62" t="s">
        <v>308</v>
      </c>
      <c r="E974" s="71" t="s">
        <v>177</v>
      </c>
      <c r="F974" s="72">
        <v>2591</v>
      </c>
      <c r="G974" s="73" t="s">
        <v>195</v>
      </c>
      <c r="H974" s="74">
        <f>[1]!'@CTA[8-2-1-2-5-2591,F,9,#6]'</f>
        <v>452</v>
      </c>
      <c r="I974" s="74">
        <f>[1]!'@CTA[8-2-3-2-5-2591,F,9,#6]'</f>
        <v>0</v>
      </c>
      <c r="J974" s="75">
        <f>[1]!'@CTA[8-2-1-2-5-2591,F,9,#6]'+[1]!'@CTA[8-2-3-2-5-2591,F,9,#6]'</f>
        <v>452</v>
      </c>
      <c r="K974" s="76">
        <f>[1]!'@CTA[8-2-4-2-5-2591,J,9,#6]'</f>
        <v>0</v>
      </c>
      <c r="L974" s="76">
        <f>[1]!'@CTA[8-2-5-2-5-2591,J,9,#6]'</f>
        <v>0</v>
      </c>
      <c r="M974" s="76">
        <f>[1]!'@CTA[8-2-6-2-5-2591,J,9,#6]'</f>
        <v>0</v>
      </c>
      <c r="N974" s="74">
        <f>[1]!'@CTA[8-2-7-2-5-2591,F,9,#6]'</f>
        <v>0</v>
      </c>
      <c r="O974" s="66">
        <f t="shared" si="68"/>
        <v>452</v>
      </c>
    </row>
    <row r="975" spans="1:15" ht="120" x14ac:dyDescent="0.2">
      <c r="A975" s="67" t="s">
        <v>302</v>
      </c>
      <c r="B975" s="61" t="s">
        <v>152</v>
      </c>
      <c r="C975" s="61" t="s">
        <v>149</v>
      </c>
      <c r="D975" s="62" t="s">
        <v>308</v>
      </c>
      <c r="E975" s="71" t="s">
        <v>177</v>
      </c>
      <c r="F975" s="72">
        <v>2611</v>
      </c>
      <c r="G975" s="73" t="s">
        <v>196</v>
      </c>
      <c r="H975" s="74">
        <f>[1]!'@CTA[8-2-1-2-6-2611,F,9,#6]'</f>
        <v>27436</v>
      </c>
      <c r="I975" s="74">
        <f>[1]!'@CTA[8-2-3-2-6-2611,F,9,#6]'</f>
        <v>0</v>
      </c>
      <c r="J975" s="75">
        <f>[1]!'@CTA[8-2-1-2-6-2611,F,9,#6]'+[1]!'@CTA[8-2-3-2-6-2611,F,9,#6]'</f>
        <v>27436</v>
      </c>
      <c r="K975" s="76">
        <f>[1]!'@CTA[8-2-4-2-6-2611,J,9,#6]'</f>
        <v>5001.5599999999995</v>
      </c>
      <c r="L975" s="76">
        <f>[1]!'@CTA[8-2-5-2-6-2611,J,9,#6]'</f>
        <v>5001.5599999999995</v>
      </c>
      <c r="M975" s="76">
        <f>[1]!'@CTA[8-2-6-2-6-2611,J,9,#6]'</f>
        <v>5001.5599999999995</v>
      </c>
      <c r="N975" s="74">
        <f>[1]!'@CTA[8-2-7-2-6-2611,F,9,#6]'</f>
        <v>4219.7299999999959</v>
      </c>
      <c r="O975" s="66">
        <f t="shared" si="68"/>
        <v>22434.440000000002</v>
      </c>
    </row>
    <row r="976" spans="1:15" ht="120" x14ac:dyDescent="0.2">
      <c r="A976" s="67" t="s">
        <v>302</v>
      </c>
      <c r="B976" s="61" t="s">
        <v>152</v>
      </c>
      <c r="C976" s="61" t="s">
        <v>149</v>
      </c>
      <c r="D976" s="62" t="s">
        <v>308</v>
      </c>
      <c r="E976" s="71" t="s">
        <v>177</v>
      </c>
      <c r="F976" s="72">
        <v>2612</v>
      </c>
      <c r="G976" s="73" t="s">
        <v>197</v>
      </c>
      <c r="H976" s="74">
        <f>[1]!'@CTA[8-2-1-2-6-2612,F,9,#6]'</f>
        <v>0</v>
      </c>
      <c r="I976" s="74">
        <f>[1]!'@CTA[8-2-3-2-6-2612,F,9,#6]'</f>
        <v>0</v>
      </c>
      <c r="J976" s="75">
        <f>[1]!'@CTA[8-2-1-2-6-2612,F,9,#6]'+[1]!'@CTA[8-2-3-2-6-2612,F,9,#6]'</f>
        <v>0</v>
      </c>
      <c r="K976" s="76">
        <f>[1]!'@CTA[8-2-4-2-6-2612,J,9,#6]'</f>
        <v>0</v>
      </c>
      <c r="L976" s="76">
        <f>[1]!'@CTA[8-2-5-2-6-2612,J,9,#6]'</f>
        <v>0</v>
      </c>
      <c r="M976" s="76">
        <f>[1]!'@CTA[8-2-6-2-6-2612,J,9,#6]'</f>
        <v>0</v>
      </c>
      <c r="N976" s="74">
        <f>[1]!'@CTA[8-2-7-2-6-2612,F,9,#6]'</f>
        <v>0</v>
      </c>
      <c r="O976" s="66">
        <f t="shared" si="68"/>
        <v>0</v>
      </c>
    </row>
    <row r="977" spans="1:15" ht="120" x14ac:dyDescent="0.2">
      <c r="A977" s="67" t="s">
        <v>302</v>
      </c>
      <c r="B977" s="61" t="s">
        <v>152</v>
      </c>
      <c r="C977" s="61" t="s">
        <v>149</v>
      </c>
      <c r="D977" s="62" t="s">
        <v>308</v>
      </c>
      <c r="E977" s="71" t="s">
        <v>177</v>
      </c>
      <c r="F977" s="72">
        <v>2711</v>
      </c>
      <c r="G977" s="73" t="s">
        <v>198</v>
      </c>
      <c r="H977" s="74">
        <f>[1]!'@CTA[8-2-1-2-7-2711,F,9,#6]'</f>
        <v>6000</v>
      </c>
      <c r="I977" s="74">
        <f>[1]!'@CTA[8-2-3-2-7-2711,F,9,#6]'</f>
        <v>0</v>
      </c>
      <c r="J977" s="75">
        <f>[1]!'@CTA[8-2-1-2-7-2711,F,9,#6]'+[1]!'@CTA[8-2-3-2-7-2711,F,9,#6]'</f>
        <v>6000</v>
      </c>
      <c r="K977" s="76">
        <f>[1]!'@CTA[8-2-4-2-7-2711,J,9,#6]'</f>
        <v>4201.1000000000004</v>
      </c>
      <c r="L977" s="76">
        <f>[1]!'@CTA[8-2-5-2-7-2711,J,9,#6]'</f>
        <v>4201.1000000000004</v>
      </c>
      <c r="M977" s="76">
        <f>[1]!'@CTA[8-2-6-2-7-2711,J,9,#6]'</f>
        <v>4201.1000000000004</v>
      </c>
      <c r="N977" s="74">
        <f>[1]!'@CTA[8-2-7-2-7-2711,F,9,#6]'</f>
        <v>4201.1000000000004</v>
      </c>
      <c r="O977" s="66">
        <f t="shared" si="68"/>
        <v>1798.8999999999996</v>
      </c>
    </row>
    <row r="978" spans="1:15" ht="120" x14ac:dyDescent="0.2">
      <c r="A978" s="67" t="s">
        <v>302</v>
      </c>
      <c r="B978" s="61" t="s">
        <v>152</v>
      </c>
      <c r="C978" s="61" t="s">
        <v>149</v>
      </c>
      <c r="D978" s="62" t="s">
        <v>308</v>
      </c>
      <c r="E978" s="71" t="s">
        <v>177</v>
      </c>
      <c r="F978" s="72">
        <v>2712</v>
      </c>
      <c r="G978" s="73" t="s">
        <v>199</v>
      </c>
      <c r="H978" s="74">
        <f>[1]!'@CTA[8-2-1-2-7-2712,F,9,#6]'</f>
        <v>0</v>
      </c>
      <c r="I978" s="74">
        <f>[1]!'@CTA[8-2-3-2-7-2712,F,9,#6]'</f>
        <v>0</v>
      </c>
      <c r="J978" s="75">
        <f>[1]!'@CTA[8-2-1-2-7-2712,F,9,#6]'+[1]!'@CTA[8-2-3-2-7-2712,F,9,#6]'</f>
        <v>0</v>
      </c>
      <c r="K978" s="76">
        <f>[1]!'@CTA[8-2-4-2-7-2712,J,9,#6]'</f>
        <v>0</v>
      </c>
      <c r="L978" s="76">
        <f>[1]!'@CTA[8-2-5-2-7-2712,J,9,#6]'</f>
        <v>0</v>
      </c>
      <c r="M978" s="76">
        <f>[1]!'@CTA[8-2-6-2-7-2712,J,9,#6]'</f>
        <v>0</v>
      </c>
      <c r="N978" s="74">
        <f>[1]!'@CTA[8-2-7-2-7-2712,F,9,#6]'</f>
        <v>0</v>
      </c>
      <c r="O978" s="66">
        <f t="shared" si="68"/>
        <v>0</v>
      </c>
    </row>
    <row r="979" spans="1:15" ht="120" x14ac:dyDescent="0.2">
      <c r="A979" s="67" t="s">
        <v>302</v>
      </c>
      <c r="B979" s="61" t="s">
        <v>152</v>
      </c>
      <c r="C979" s="61" t="s">
        <v>149</v>
      </c>
      <c r="D979" s="62" t="s">
        <v>308</v>
      </c>
      <c r="E979" s="71" t="s">
        <v>177</v>
      </c>
      <c r="F979" s="72">
        <v>2721</v>
      </c>
      <c r="G979" s="73" t="s">
        <v>200</v>
      </c>
      <c r="H979" s="74">
        <f>[1]!'@CTA[8-2-1-2-7-2721,F,9,#6]'</f>
        <v>358</v>
      </c>
      <c r="I979" s="74">
        <f>[1]!'@CTA[8-2-3-2-7-2721,F,9,#6]'</f>
        <v>0</v>
      </c>
      <c r="J979" s="75">
        <f>[1]!'@CTA[8-2-1-2-7-2721,F,9,#6]'+[1]!'@CTA[8-2-3-2-7-2721,F,9,#6]'</f>
        <v>358</v>
      </c>
      <c r="K979" s="76">
        <f>[1]!'@CTA[8-2-4-2-7-2721,J,9,#6]'</f>
        <v>0</v>
      </c>
      <c r="L979" s="76">
        <f>[1]!'@CTA[8-2-5-2-7-2721,J,9,#6]'</f>
        <v>0</v>
      </c>
      <c r="M979" s="76">
        <f>[1]!'@CTA[8-2-6-2-7-2721,J,9,#6]'</f>
        <v>0</v>
      </c>
      <c r="N979" s="74">
        <f>[1]!'@CTA[8-2-7-2-7-2721,F,9,#6]'</f>
        <v>0</v>
      </c>
      <c r="O979" s="66">
        <f t="shared" si="68"/>
        <v>358</v>
      </c>
    </row>
    <row r="980" spans="1:15" ht="120" x14ac:dyDescent="0.2">
      <c r="A980" s="67" t="s">
        <v>302</v>
      </c>
      <c r="B980" s="61" t="s">
        <v>152</v>
      </c>
      <c r="C980" s="61" t="s">
        <v>149</v>
      </c>
      <c r="D980" s="62" t="s">
        <v>308</v>
      </c>
      <c r="E980" s="71" t="s">
        <v>177</v>
      </c>
      <c r="F980" s="72">
        <v>2731</v>
      </c>
      <c r="G980" s="73" t="s">
        <v>201</v>
      </c>
      <c r="H980" s="74">
        <f>[1]!'@CTA[8-2-1-2-7-2731,F,9,#6]'</f>
        <v>0</v>
      </c>
      <c r="I980" s="74">
        <f>[1]!'@CTA[8-2-3-2-7-2731,F,9,#6]'</f>
        <v>0</v>
      </c>
      <c r="J980" s="75">
        <f>[1]!'@CTA[8-2-1-2-7-2731,F,9,#6]'+[1]!'@CTA[8-2-3-2-7-2731,F,9,#6]'</f>
        <v>0</v>
      </c>
      <c r="K980" s="76">
        <f>[1]!'@CTA[8-2-4-2-7-2731,J,9,#6]'</f>
        <v>0</v>
      </c>
      <c r="L980" s="76">
        <f>[1]!'@CTA[8-2-5-2-7-2731,J,9,#6]'</f>
        <v>0</v>
      </c>
      <c r="M980" s="76">
        <f>[1]!'@CTA[8-2-6-2-7-2731,J,9,#6]'</f>
        <v>0</v>
      </c>
      <c r="N980" s="74">
        <f>[1]!'@CTA[8-2-7-2-7-2731,F,9,#6]'</f>
        <v>0</v>
      </c>
      <c r="O980" s="66">
        <f t="shared" si="68"/>
        <v>0</v>
      </c>
    </row>
    <row r="981" spans="1:15" ht="120" x14ac:dyDescent="0.2">
      <c r="A981" s="67" t="s">
        <v>302</v>
      </c>
      <c r="B981" s="61" t="s">
        <v>152</v>
      </c>
      <c r="C981" s="61" t="s">
        <v>149</v>
      </c>
      <c r="D981" s="62" t="s">
        <v>308</v>
      </c>
      <c r="E981" s="71" t="s">
        <v>177</v>
      </c>
      <c r="F981" s="72">
        <v>2911</v>
      </c>
      <c r="G981" s="73" t="s">
        <v>202</v>
      </c>
      <c r="H981" s="74">
        <f>[1]!'@CTA[8-2-1-2-9-2911,F,9,#6]'</f>
        <v>0</v>
      </c>
      <c r="I981" s="74">
        <f>[1]!'@CTA[8-2-3-2-9-2911,F,9,#6]'</f>
        <v>0</v>
      </c>
      <c r="J981" s="75">
        <f>[1]!'@CTA[8-2-1-2-9-2911,F,9,#6]'+[1]!'@CTA[8-2-3-2-9-2911,F,9,#6]'</f>
        <v>0</v>
      </c>
      <c r="K981" s="76">
        <f>[1]!'@CTA[8-2-4-2-9-2911,J,9,#6]'</f>
        <v>340.09</v>
      </c>
      <c r="L981" s="76">
        <f>[1]!'@CTA[8-2-5-2-9-2911,J,9,#6]'</f>
        <v>340.09</v>
      </c>
      <c r="M981" s="76">
        <f>[1]!'@CTA[8-2-6-2-9-2911,J,9,#6]'</f>
        <v>340.09</v>
      </c>
      <c r="N981" s="74">
        <f>[1]!'@CTA[8-2-7-2-9-2911,F,9,#6]'</f>
        <v>340.08999999999975</v>
      </c>
      <c r="O981" s="66">
        <f t="shared" si="68"/>
        <v>-340.09</v>
      </c>
    </row>
    <row r="982" spans="1:15" ht="120" x14ac:dyDescent="0.2">
      <c r="A982" s="67" t="s">
        <v>302</v>
      </c>
      <c r="B982" s="61"/>
      <c r="C982" s="61" t="s">
        <v>149</v>
      </c>
      <c r="D982" s="62" t="s">
        <v>308</v>
      </c>
      <c r="E982" s="61"/>
      <c r="F982" s="63">
        <v>3000</v>
      </c>
      <c r="G982" s="77" t="s">
        <v>203</v>
      </c>
      <c r="H982" s="69">
        <f t="shared" ref="H982:N982" si="69">SUBTOTAL(9,H983:H1032)</f>
        <v>1486827</v>
      </c>
      <c r="I982" s="69">
        <f t="shared" si="69"/>
        <v>1588.03</v>
      </c>
      <c r="J982" s="69">
        <f t="shared" si="69"/>
        <v>1488415.03</v>
      </c>
      <c r="K982" s="70">
        <f t="shared" si="69"/>
        <v>87937.25999999998</v>
      </c>
      <c r="L982" s="70">
        <f t="shared" si="69"/>
        <v>87937.25999999998</v>
      </c>
      <c r="M982" s="70">
        <f t="shared" si="69"/>
        <v>87937.25999999998</v>
      </c>
      <c r="N982" s="69">
        <f t="shared" si="69"/>
        <v>84281.19</v>
      </c>
      <c r="O982" s="66">
        <f t="shared" si="68"/>
        <v>1400477.77</v>
      </c>
    </row>
    <row r="983" spans="1:15" ht="120" x14ac:dyDescent="0.2">
      <c r="A983" s="67" t="s">
        <v>302</v>
      </c>
      <c r="B983" s="61" t="s">
        <v>152</v>
      </c>
      <c r="C983" s="61" t="s">
        <v>149</v>
      </c>
      <c r="D983" s="62" t="s">
        <v>308</v>
      </c>
      <c r="E983" s="71" t="s">
        <v>177</v>
      </c>
      <c r="F983" s="72">
        <v>3111</v>
      </c>
      <c r="G983" s="73" t="s">
        <v>204</v>
      </c>
      <c r="H983" s="74">
        <f>[1]!'@CTA[8-2-1-3-1-3111,F,9,#6]'</f>
        <v>5605</v>
      </c>
      <c r="I983" s="74">
        <f>[1]!'@CTA[8-2-3-3-1-3111,F,9,#6]'</f>
        <v>0</v>
      </c>
      <c r="J983" s="75">
        <f>[1]!'@CTA[8-2-1-3-1-3111,F,9,#6]'+[1]!'@CTA[8-2-3-3-1-3111,F,9,#6]'</f>
        <v>5605</v>
      </c>
      <c r="K983" s="76">
        <f>[1]!'@CTA[8-2-4-3-1-3111,J,9,#6]'</f>
        <v>2187.19</v>
      </c>
      <c r="L983" s="76">
        <f>[1]!'@CTA[8-2-5-3-1-3111,J,9,#6]'</f>
        <v>2187.19</v>
      </c>
      <c r="M983" s="76">
        <f>[1]!'@CTA[8-2-6-3-1-3111,J,9,#6]'</f>
        <v>2187.19</v>
      </c>
      <c r="N983" s="74">
        <f>[1]!'@CTA[8-2-7-3-1-3111,F,9,#6]'</f>
        <v>2187.19</v>
      </c>
      <c r="O983" s="66">
        <f t="shared" si="68"/>
        <v>3417.81</v>
      </c>
    </row>
    <row r="984" spans="1:15" ht="120" x14ac:dyDescent="0.2">
      <c r="A984" s="67" t="s">
        <v>302</v>
      </c>
      <c r="B984" s="61" t="s">
        <v>152</v>
      </c>
      <c r="C984" s="61" t="s">
        <v>149</v>
      </c>
      <c r="D984" s="62" t="s">
        <v>308</v>
      </c>
      <c r="E984" s="71" t="s">
        <v>177</v>
      </c>
      <c r="F984" s="72">
        <v>3131</v>
      </c>
      <c r="G984" s="73" t="s">
        <v>205</v>
      </c>
      <c r="H984" s="74">
        <f>[1]!'@CTA[8-2-1-3-1-3131,F,9,#6]'</f>
        <v>960</v>
      </c>
      <c r="I984" s="74">
        <f>[1]!'@CTA[8-2-3-3-1-3131,F,9,#6]'</f>
        <v>0</v>
      </c>
      <c r="J984" s="75">
        <f>[1]!'@CTA[8-2-1-3-1-3131,F,9,#6]'+[1]!'@CTA[8-2-3-3-1-3131,F,9,#6]'</f>
        <v>960</v>
      </c>
      <c r="K984" s="76">
        <f>[1]!'@CTA[8-2-4-3-1-3131,J,9,#6]'</f>
        <v>182.41</v>
      </c>
      <c r="L984" s="76">
        <f>[1]!'@CTA[8-2-5-3-1-3131,J,9,#6]'</f>
        <v>182.41</v>
      </c>
      <c r="M984" s="76">
        <f>[1]!'@CTA[8-2-6-3-1-3131,J,9,#6]'</f>
        <v>182.41</v>
      </c>
      <c r="N984" s="74">
        <f>[1]!'@CTA[8-2-7-3-1-3131,F,9,#6]'</f>
        <v>182.40999999999988</v>
      </c>
      <c r="O984" s="66">
        <f t="shared" si="68"/>
        <v>777.59</v>
      </c>
    </row>
    <row r="985" spans="1:15" ht="120" x14ac:dyDescent="0.2">
      <c r="A985" s="67" t="s">
        <v>302</v>
      </c>
      <c r="B985" s="61" t="s">
        <v>152</v>
      </c>
      <c r="C985" s="61" t="s">
        <v>149</v>
      </c>
      <c r="D985" s="62" t="s">
        <v>308</v>
      </c>
      <c r="E985" s="71" t="s">
        <v>177</v>
      </c>
      <c r="F985" s="72">
        <v>3141</v>
      </c>
      <c r="G985" s="73" t="s">
        <v>206</v>
      </c>
      <c r="H985" s="74">
        <f>[1]!'@CTA[8-2-1-3-1-3141,F,9,#6]'</f>
        <v>2940</v>
      </c>
      <c r="I985" s="74">
        <f>[1]!'@CTA[8-2-3-3-1-3141,F,9,#6]'</f>
        <v>466.96</v>
      </c>
      <c r="J985" s="75">
        <f>[1]!'@CTA[8-2-1-3-1-3141,F,9,#6]'+[1]!'@CTA[8-2-3-3-1-3141,F,9,#6]'</f>
        <v>3406.96</v>
      </c>
      <c r="K985" s="76">
        <f>[1]!'@CTA[8-2-4-3-1-3141,J,9,#6]'</f>
        <v>1090.97</v>
      </c>
      <c r="L985" s="76">
        <f>[1]!'@CTA[8-2-5-3-1-3141,J,9,#6]'</f>
        <v>1090.97</v>
      </c>
      <c r="M985" s="76">
        <f>[1]!'@CTA[8-2-6-3-1-3141,J,9,#6]'</f>
        <v>1090.97</v>
      </c>
      <c r="N985" s="74">
        <f>[1]!'@CTA[8-2-7-3-1-3141,F,9,#6]'</f>
        <v>950.66000000000008</v>
      </c>
      <c r="O985" s="66">
        <f t="shared" si="68"/>
        <v>2315.9899999999998</v>
      </c>
    </row>
    <row r="986" spans="1:15" ht="120" x14ac:dyDescent="0.2">
      <c r="A986" s="67" t="s">
        <v>302</v>
      </c>
      <c r="B986" s="61" t="s">
        <v>152</v>
      </c>
      <c r="C986" s="61" t="s">
        <v>149</v>
      </c>
      <c r="D986" s="62" t="s">
        <v>308</v>
      </c>
      <c r="E986" s="71" t="s">
        <v>177</v>
      </c>
      <c r="F986" s="72">
        <v>3161</v>
      </c>
      <c r="G986" s="73" t="s">
        <v>207</v>
      </c>
      <c r="H986" s="74">
        <f>[1]!'@CTA[8-2-1-3-1-3161,F,9,#6]'</f>
        <v>2250</v>
      </c>
      <c r="I986" s="74">
        <f>[1]!'@CTA[8-2-3-3-1-3161,F,9,#6]'</f>
        <v>0</v>
      </c>
      <c r="J986" s="75">
        <f>[1]!'@CTA[8-2-1-3-1-3161,F,9,#6]'+[1]!'@CTA[8-2-3-3-1-3161,F,9,#6]'</f>
        <v>2250</v>
      </c>
      <c r="K986" s="76">
        <f>[1]!'@CTA[8-2-4-3-1-3161,J,9,#6]'</f>
        <v>0</v>
      </c>
      <c r="L986" s="76">
        <f>[1]!'@CTA[8-2-5-3-1-3161,J,9,#6]'</f>
        <v>0</v>
      </c>
      <c r="M986" s="76">
        <f>[1]!'@CTA[8-2-6-3-1-3161,J,9,#6]'</f>
        <v>0</v>
      </c>
      <c r="N986" s="74">
        <f>[1]!'@CTA[8-2-7-3-1-3161,F,9,#6]'</f>
        <v>0</v>
      </c>
      <c r="O986" s="66">
        <f t="shared" si="68"/>
        <v>2250</v>
      </c>
    </row>
    <row r="987" spans="1:15" ht="120" x14ac:dyDescent="0.2">
      <c r="A987" s="67" t="s">
        <v>302</v>
      </c>
      <c r="B987" s="61" t="s">
        <v>152</v>
      </c>
      <c r="C987" s="61" t="s">
        <v>149</v>
      </c>
      <c r="D987" s="62" t="s">
        <v>308</v>
      </c>
      <c r="E987" s="71" t="s">
        <v>177</v>
      </c>
      <c r="F987" s="72">
        <v>3171</v>
      </c>
      <c r="G987" s="73" t="s">
        <v>208</v>
      </c>
      <c r="H987" s="74">
        <f>[1]!'@CTA[8-2-1-3-1-3171,F,9,#6]'</f>
        <v>655</v>
      </c>
      <c r="I987" s="74">
        <f>[1]!'@CTA[8-2-3-3-1-3171,F,9,#6]'</f>
        <v>0</v>
      </c>
      <c r="J987" s="75">
        <f>[1]!'@CTA[8-2-1-3-1-3171,F,9,#6]'+[1]!'@CTA[8-2-3-3-1-3171,F,9,#6]'</f>
        <v>655</v>
      </c>
      <c r="K987" s="76">
        <f>[1]!'@CTA[8-2-4-3-1-3171,J,9,#6]'</f>
        <v>0</v>
      </c>
      <c r="L987" s="76">
        <f>[1]!'@CTA[8-2-5-3-1-3171,J,9,#6]'</f>
        <v>0</v>
      </c>
      <c r="M987" s="76">
        <f>[1]!'@CTA[8-2-6-3-1-3171,J,9,#6]'</f>
        <v>0</v>
      </c>
      <c r="N987" s="74">
        <f>[1]!'@CTA[8-2-7-3-1-3171,F,9,#6]'</f>
        <v>0</v>
      </c>
      <c r="O987" s="66">
        <f t="shared" si="68"/>
        <v>655</v>
      </c>
    </row>
    <row r="988" spans="1:15" ht="120" x14ac:dyDescent="0.2">
      <c r="A988" s="67" t="s">
        <v>302</v>
      </c>
      <c r="B988" s="61" t="s">
        <v>152</v>
      </c>
      <c r="C988" s="61" t="s">
        <v>149</v>
      </c>
      <c r="D988" s="62" t="s">
        <v>308</v>
      </c>
      <c r="E988" s="71" t="s">
        <v>177</v>
      </c>
      <c r="F988" s="72">
        <v>3181</v>
      </c>
      <c r="G988" s="73" t="s">
        <v>209</v>
      </c>
      <c r="H988" s="74">
        <f>[1]!'@CTA[8-2-1-3-1-3181,F,9,#6]'</f>
        <v>0</v>
      </c>
      <c r="I988" s="74">
        <f>[1]!'@CTA[8-2-3-3-1-3181,F,9,#6]'</f>
        <v>0</v>
      </c>
      <c r="J988" s="75">
        <f>[1]!'@CTA[8-2-1-3-1-3181,F,9,#6]'+[1]!'@CTA[8-2-3-3-1-3181,F,9,#6]'</f>
        <v>0</v>
      </c>
      <c r="K988" s="76">
        <f>[1]!'@CTA[8-2-4-3-1-3181,J,9,#6]'</f>
        <v>0</v>
      </c>
      <c r="L988" s="76">
        <f>[1]!'@CTA[8-2-5-3-1-3181,J,9,#6]'</f>
        <v>0</v>
      </c>
      <c r="M988" s="76">
        <f>[1]!'@CTA[8-2-6-3-1-3181,J,9,#6]'</f>
        <v>0</v>
      </c>
      <c r="N988" s="74">
        <f>[1]!'@CTA[8-2-7-3-1-3181,F,9,#6]'</f>
        <v>0</v>
      </c>
      <c r="O988" s="66">
        <f t="shared" si="68"/>
        <v>0</v>
      </c>
    </row>
    <row r="989" spans="1:15" ht="120" x14ac:dyDescent="0.2">
      <c r="A989" s="67" t="s">
        <v>302</v>
      </c>
      <c r="B989" s="61" t="s">
        <v>152</v>
      </c>
      <c r="C989" s="61" t="s">
        <v>149</v>
      </c>
      <c r="D989" s="62" t="s">
        <v>308</v>
      </c>
      <c r="E989" s="71" t="s">
        <v>177</v>
      </c>
      <c r="F989" s="72">
        <v>3182</v>
      </c>
      <c r="G989" s="73" t="s">
        <v>210</v>
      </c>
      <c r="H989" s="74">
        <f>[1]!'@CTA[8-2-1-3-1-3182,F,9,#6]'</f>
        <v>0</v>
      </c>
      <c r="I989" s="74">
        <f>[1]!'@CTA[8-2-3-3-1-3182,F,9,#6]'</f>
        <v>0</v>
      </c>
      <c r="J989" s="75">
        <f>[1]!'@CTA[8-2-1-3-1-3182,F,9,#6]'+[1]!'@CTA[8-2-3-3-1-3182,F,9,#6]'</f>
        <v>0</v>
      </c>
      <c r="K989" s="76">
        <f>[1]!'@CTA[8-2-4-3-1-3182,J,9,#6]'</f>
        <v>0</v>
      </c>
      <c r="L989" s="76">
        <f>[1]!'@CTA[8-2-5-3-1-3182,J,9,#6]'</f>
        <v>0</v>
      </c>
      <c r="M989" s="76">
        <f>[1]!'@CTA[8-2-6-3-1-3182,J,9,#6]'</f>
        <v>0</v>
      </c>
      <c r="N989" s="74">
        <f>[1]!'@CTA[8-2-7-3-1-3182,F,9,#6]'</f>
        <v>0</v>
      </c>
      <c r="O989" s="66">
        <f t="shared" si="68"/>
        <v>0</v>
      </c>
    </row>
    <row r="990" spans="1:15" ht="120" x14ac:dyDescent="0.2">
      <c r="A990" s="67" t="s">
        <v>302</v>
      </c>
      <c r="B990" s="61" t="s">
        <v>152</v>
      </c>
      <c r="C990" s="61" t="s">
        <v>149</v>
      </c>
      <c r="D990" s="62" t="s">
        <v>308</v>
      </c>
      <c r="E990" s="71" t="s">
        <v>211</v>
      </c>
      <c r="F990" s="72">
        <v>3211</v>
      </c>
      <c r="G990" s="73" t="s">
        <v>212</v>
      </c>
      <c r="H990" s="74">
        <f>[1]!'@CTA[8-2-1-3-2-3211,F,9,#6]'</f>
        <v>0</v>
      </c>
      <c r="I990" s="74">
        <f>[1]!'@CTA[8-2-3-3-2-3211,F,9,#6]'</f>
        <v>0</v>
      </c>
      <c r="J990" s="75">
        <f>[1]!'@CTA[8-2-1-3-2-3211,F,9,#6]'+[1]!'@CTA[8-2-3-3-2-3211,F,9,#6]'</f>
        <v>0</v>
      </c>
      <c r="K990" s="76">
        <f>[1]!'@CTA[8-2-4-3-2-3211,J,9,#6]'</f>
        <v>0</v>
      </c>
      <c r="L990" s="76">
        <f>[1]!'@CTA[8-2-5-3-2-3211,J,9,#6]'</f>
        <v>0</v>
      </c>
      <c r="M990" s="76">
        <f>[1]!'@CTA[8-2-6-3-2-3211,J,9,#6]'</f>
        <v>0</v>
      </c>
      <c r="N990" s="74">
        <f>[1]!'@CTA[8-2-7-3-2-3211,F,9,#6]'</f>
        <v>0</v>
      </c>
      <c r="O990" s="66">
        <f t="shared" si="68"/>
        <v>0</v>
      </c>
    </row>
    <row r="991" spans="1:15" ht="120" x14ac:dyDescent="0.2">
      <c r="A991" s="67" t="s">
        <v>302</v>
      </c>
      <c r="B991" s="61" t="s">
        <v>152</v>
      </c>
      <c r="C991" s="61" t="s">
        <v>149</v>
      </c>
      <c r="D991" s="62" t="s">
        <v>308</v>
      </c>
      <c r="E991" s="71" t="s">
        <v>177</v>
      </c>
      <c r="F991" s="72">
        <v>3231</v>
      </c>
      <c r="G991" s="73" t="s">
        <v>213</v>
      </c>
      <c r="H991" s="74">
        <f>[1]!'@CTA[8-2-1-3-2-3231,F,9,#6]'</f>
        <v>7200</v>
      </c>
      <c r="I991" s="74">
        <f>[1]!'@CTA[8-2-3-3-2-3231,F,9,#6]'</f>
        <v>0</v>
      </c>
      <c r="J991" s="75">
        <f>[1]!'@CTA[8-2-1-3-2-3231,F,9,#6]'+[1]!'@CTA[8-2-3-3-2-3231,F,9,#6]'</f>
        <v>7200</v>
      </c>
      <c r="K991" s="76">
        <f>[1]!'@CTA[8-2-4-3-2-3231,J,9,#6]'</f>
        <v>905.21000000000015</v>
      </c>
      <c r="L991" s="76">
        <f>[1]!'@CTA[8-2-5-3-2-3231,J,9,#6]'</f>
        <v>905.21000000000015</v>
      </c>
      <c r="M991" s="76">
        <f>[1]!'@CTA[8-2-6-3-2-3231,J,9,#6]'</f>
        <v>905.21000000000015</v>
      </c>
      <c r="N991" s="74">
        <f>[1]!'@CTA[8-2-7-3-2-3231,F,9,#6]'</f>
        <v>905.21000000000095</v>
      </c>
      <c r="O991" s="66">
        <f t="shared" si="68"/>
        <v>6294.79</v>
      </c>
    </row>
    <row r="992" spans="1:15" ht="120" x14ac:dyDescent="0.2">
      <c r="A992" s="67" t="s">
        <v>302</v>
      </c>
      <c r="B992" s="61" t="s">
        <v>152</v>
      </c>
      <c r="C992" s="61" t="s">
        <v>149</v>
      </c>
      <c r="D992" s="62" t="s">
        <v>308</v>
      </c>
      <c r="E992" s="71" t="s">
        <v>177</v>
      </c>
      <c r="F992" s="72">
        <v>3261</v>
      </c>
      <c r="G992" s="73" t="s">
        <v>214</v>
      </c>
      <c r="H992" s="74">
        <f>[1]!'@CTA[8-2-1-3-2-3261,F,9,#6]'</f>
        <v>0</v>
      </c>
      <c r="I992" s="74">
        <f>[1]!'@CTA[8-2-3-3-2-3261,F,9,#6]'</f>
        <v>0</v>
      </c>
      <c r="J992" s="75">
        <f>[1]!'@CTA[8-2-1-3-2-3261,F,9,#6]'+[1]!'@CTA[8-2-3-3-2-3261,F,9,#6]'</f>
        <v>0</v>
      </c>
      <c r="K992" s="76">
        <f>[1]!'@CTA[8-2-4-3-2-3261,J,9,#6]'</f>
        <v>0</v>
      </c>
      <c r="L992" s="76">
        <f>[1]!'@CTA[8-2-5-3-2-3261,J,9,#6]'</f>
        <v>0</v>
      </c>
      <c r="M992" s="76">
        <f>[1]!'@CTA[8-2-6-3-2-3261,J,9,#6]'</f>
        <v>0</v>
      </c>
      <c r="N992" s="74">
        <f>[1]!'@CTA[8-2-7-3-2-3261,F,9,#6]'</f>
        <v>0</v>
      </c>
      <c r="O992" s="66">
        <f t="shared" si="68"/>
        <v>0</v>
      </c>
    </row>
    <row r="993" spans="1:15" ht="120" x14ac:dyDescent="0.2">
      <c r="A993" s="67" t="s">
        <v>302</v>
      </c>
      <c r="B993" s="61" t="s">
        <v>152</v>
      </c>
      <c r="C993" s="61" t="s">
        <v>149</v>
      </c>
      <c r="D993" s="62" t="s">
        <v>308</v>
      </c>
      <c r="E993" s="71" t="s">
        <v>177</v>
      </c>
      <c r="F993" s="72">
        <v>3291</v>
      </c>
      <c r="G993" s="73" t="s">
        <v>215</v>
      </c>
      <c r="H993" s="74">
        <f>[1]!'@CTA[8-2-1-3-2-3291,F,9,#6]'</f>
        <v>0</v>
      </c>
      <c r="I993" s="74">
        <f>[1]!'@CTA[8-2-3-3-2-3291,F,9,#6]'</f>
        <v>0</v>
      </c>
      <c r="J993" s="75">
        <f>[1]!'@CTA[8-2-1-3-2-3291,F,9,#6]'+[1]!'@CTA[8-2-3-3-2-3291,F,9,#6]'</f>
        <v>0</v>
      </c>
      <c r="K993" s="76">
        <f>[1]!'@CTA[8-2-4-3-2-3291,J,9,#6]'</f>
        <v>0</v>
      </c>
      <c r="L993" s="76">
        <f>[1]!'@CTA[8-2-5-3-2-3291,J,9,#6]'</f>
        <v>0</v>
      </c>
      <c r="M993" s="76">
        <f>[1]!'@CTA[8-2-6-3-2-3291,J,9,#6]'</f>
        <v>0</v>
      </c>
      <c r="N993" s="74">
        <f>[1]!'@CTA[8-2-7-3-2-3291,F,9,#6]'</f>
        <v>0</v>
      </c>
      <c r="O993" s="66">
        <f t="shared" si="68"/>
        <v>0</v>
      </c>
    </row>
    <row r="994" spans="1:15" ht="120" x14ac:dyDescent="0.2">
      <c r="A994" s="67" t="s">
        <v>302</v>
      </c>
      <c r="B994" s="61" t="s">
        <v>152</v>
      </c>
      <c r="C994" s="61" t="s">
        <v>149</v>
      </c>
      <c r="D994" s="62" t="s">
        <v>308</v>
      </c>
      <c r="E994" s="71" t="s">
        <v>177</v>
      </c>
      <c r="F994" s="72">
        <v>3311</v>
      </c>
      <c r="G994" s="73" t="s">
        <v>216</v>
      </c>
      <c r="H994" s="74">
        <f>[1]!'@CTA[8-2-1-3-3-3311,F,9,#6]'</f>
        <v>0</v>
      </c>
      <c r="I994" s="74">
        <f>[1]!'@CTA[8-2-3-3-3-3311,F,9,#6]'</f>
        <v>0</v>
      </c>
      <c r="J994" s="75">
        <f>[1]!'@CTA[8-2-1-3-3-3311,F,9,#6]'+[1]!'@CTA[8-2-3-3-3-3311,F,9,#6]'</f>
        <v>0</v>
      </c>
      <c r="K994" s="76">
        <f>[1]!'@CTA[8-2-4-3-3-3311,J,9,#6]'</f>
        <v>2285.7199999999998</v>
      </c>
      <c r="L994" s="76">
        <f>[1]!'@CTA[8-2-5-3-3-3311,J,9,#6]'</f>
        <v>2285.7199999999998</v>
      </c>
      <c r="M994" s="76">
        <f>[1]!'@CTA[8-2-6-3-3-3311,J,9,#6]'</f>
        <v>2285.7199999999998</v>
      </c>
      <c r="N994" s="74">
        <f>[1]!'@CTA[8-2-7-3-3-3311,F,9,#6]'</f>
        <v>0</v>
      </c>
      <c r="O994" s="66">
        <f t="shared" si="68"/>
        <v>-2285.7199999999998</v>
      </c>
    </row>
    <row r="995" spans="1:15" ht="120" x14ac:dyDescent="0.2">
      <c r="A995" s="67" t="s">
        <v>302</v>
      </c>
      <c r="B995" s="61" t="s">
        <v>152</v>
      </c>
      <c r="C995" s="61" t="s">
        <v>149</v>
      </c>
      <c r="D995" s="62" t="s">
        <v>308</v>
      </c>
      <c r="E995" s="71" t="s">
        <v>177</v>
      </c>
      <c r="F995" s="72">
        <v>3331</v>
      </c>
      <c r="G995" s="73" t="s">
        <v>217</v>
      </c>
      <c r="H995" s="74">
        <f>[1]!'@CTA[8-2-1-3-3-3331,F,9,#6]'</f>
        <v>0</v>
      </c>
      <c r="I995" s="74">
        <f>[1]!'@CTA[8-2-3-3-3-3331,F,9,#6]'</f>
        <v>0</v>
      </c>
      <c r="J995" s="75">
        <f>[1]!'@CTA[8-2-1-3-3-3331,F,9,#6]'+[1]!'@CTA[8-2-3-3-3-3331,F,9,#6]'</f>
        <v>0</v>
      </c>
      <c r="K995" s="76">
        <f>[1]!'@CTA[8-2-4-3-3-3331,J,9,#6]'</f>
        <v>0</v>
      </c>
      <c r="L995" s="76">
        <f>[1]!'@CTA[8-2-5-3-3-3331,J,9,#6]'</f>
        <v>0</v>
      </c>
      <c r="M995" s="76">
        <f>[1]!'@CTA[8-2-6-3-3-3331,J,9,#6]'</f>
        <v>0</v>
      </c>
      <c r="N995" s="74">
        <f>[1]!'@CTA[8-2-7-3-3-3331,F,9,#6]'</f>
        <v>0</v>
      </c>
      <c r="O995" s="66">
        <f t="shared" si="68"/>
        <v>0</v>
      </c>
    </row>
    <row r="996" spans="1:15" ht="120" x14ac:dyDescent="0.2">
      <c r="A996" s="67" t="s">
        <v>302</v>
      </c>
      <c r="B996" s="61" t="s">
        <v>152</v>
      </c>
      <c r="C996" s="61" t="s">
        <v>149</v>
      </c>
      <c r="D996" s="62" t="s">
        <v>308</v>
      </c>
      <c r="E996" s="71" t="s">
        <v>177</v>
      </c>
      <c r="F996" s="72">
        <v>3332</v>
      </c>
      <c r="G996" s="73" t="s">
        <v>218</v>
      </c>
      <c r="H996" s="74">
        <f>[1]!'@CTA[8-2-1-3-3-3332,F,9,#6]'</f>
        <v>1430512</v>
      </c>
      <c r="I996" s="75">
        <f>[1]!'@CTA[8-2-3-3-3-3332,F,9,#6]'</f>
        <v>0</v>
      </c>
      <c r="J996" s="75">
        <f>[1]!'@CTA[8-2-1-3-3-3332,F,9,#6]'+[1]!'@CTA[8-2-3-3-3-3332,F,9,#6]'</f>
        <v>1430512</v>
      </c>
      <c r="K996" s="76">
        <f>[1]!'@CTA[8-2-4-3-3-3332,J,9,#6]'</f>
        <v>74413.72</v>
      </c>
      <c r="L996" s="76">
        <f>[1]!'@CTA[8-2-5-3-3-3332,J,9,#6]'</f>
        <v>74413.72</v>
      </c>
      <c r="M996" s="76">
        <f>[1]!'@CTA[8-2-6-3-3-3332,J,9,#6]'</f>
        <v>74413.72</v>
      </c>
      <c r="N996" s="74">
        <f>[1]!'@CTA[8-2-7-3-3-3332,F,9,#6]'</f>
        <v>74413.72</v>
      </c>
      <c r="O996" s="66">
        <f t="shared" si="68"/>
        <v>1356098.28</v>
      </c>
    </row>
    <row r="997" spans="1:15" ht="120" x14ac:dyDescent="0.2">
      <c r="A997" s="67" t="s">
        <v>302</v>
      </c>
      <c r="B997" s="61" t="s">
        <v>152</v>
      </c>
      <c r="C997" s="61" t="s">
        <v>149</v>
      </c>
      <c r="D997" s="62" t="s">
        <v>308</v>
      </c>
      <c r="E997" s="71" t="s">
        <v>177</v>
      </c>
      <c r="F997" s="72">
        <v>3341</v>
      </c>
      <c r="G997" s="73" t="s">
        <v>219</v>
      </c>
      <c r="H997" s="74">
        <f>[1]!'@CTA[8-2-1-3-3-3341,F,9,#6]'</f>
        <v>0</v>
      </c>
      <c r="I997" s="74">
        <f>[1]!'@CTA[8-2-3-3-3-3341,F,9,#6]'</f>
        <v>0</v>
      </c>
      <c r="J997" s="75">
        <f>[1]!'@CTA[8-2-1-3-3-3341,F,9,#6]'+[1]!'@CTA[8-2-3-3-3-3341,F,9,#6]'</f>
        <v>0</v>
      </c>
      <c r="K997" s="76">
        <f>[1]!'@CTA[8-2-4-3-3-3341,J,9,#6]'</f>
        <v>0</v>
      </c>
      <c r="L997" s="76">
        <f>[1]!'@CTA[8-2-5-3-3-3341,J,9,#6]'</f>
        <v>0</v>
      </c>
      <c r="M997" s="76">
        <f>[1]!'@CTA[8-2-6-3-3-3341,J,9,#6]'</f>
        <v>0</v>
      </c>
      <c r="N997" s="74">
        <f>[1]!'@CTA[8-2-7-3-3-3341,F,9,#6]'</f>
        <v>0</v>
      </c>
      <c r="O997" s="66">
        <f t="shared" si="68"/>
        <v>0</v>
      </c>
    </row>
    <row r="998" spans="1:15" ht="120" x14ac:dyDescent="0.2">
      <c r="A998" s="67" t="s">
        <v>302</v>
      </c>
      <c r="B998" s="61" t="s">
        <v>152</v>
      </c>
      <c r="C998" s="61" t="s">
        <v>149</v>
      </c>
      <c r="D998" s="62" t="s">
        <v>308</v>
      </c>
      <c r="E998" s="71" t="s">
        <v>177</v>
      </c>
      <c r="F998" s="72">
        <v>3381</v>
      </c>
      <c r="G998" s="73" t="s">
        <v>220</v>
      </c>
      <c r="H998" s="74">
        <f>[1]!'@CTA[8-2-1-3-3-3381,F,9,#6]'</f>
        <v>0</v>
      </c>
      <c r="I998" s="74">
        <f>[1]!'@CTA[8-2-3-3-3-3381,F,9,#6]'</f>
        <v>0</v>
      </c>
      <c r="J998" s="75">
        <f>[1]!'@CTA[8-2-1-3-3-3381,F,9,#6]'+[1]!'@CTA[8-2-3-3-3-3381,F,9,#6]'</f>
        <v>0</v>
      </c>
      <c r="K998" s="76">
        <f>[1]!'@CTA[8-2-4-3-3-3381,J,9,#6]'</f>
        <v>0</v>
      </c>
      <c r="L998" s="76">
        <f>[1]!'@CTA[8-2-5-3-3-3381,J,9,#6]'</f>
        <v>0</v>
      </c>
      <c r="M998" s="76">
        <f>[1]!'@CTA[8-2-6-3-3-3381,J,9,#6]'</f>
        <v>0</v>
      </c>
      <c r="N998" s="74">
        <f>[1]!'@CTA[8-2-7-3-3-3381,F,9,#6]'</f>
        <v>0</v>
      </c>
      <c r="O998" s="66">
        <f t="shared" si="68"/>
        <v>0</v>
      </c>
    </row>
    <row r="999" spans="1:15" ht="120" x14ac:dyDescent="0.2">
      <c r="A999" s="67" t="s">
        <v>302</v>
      </c>
      <c r="B999" s="61" t="s">
        <v>152</v>
      </c>
      <c r="C999" s="61" t="s">
        <v>149</v>
      </c>
      <c r="D999" s="62" t="s">
        <v>308</v>
      </c>
      <c r="E999" s="71" t="s">
        <v>177</v>
      </c>
      <c r="F999" s="72">
        <v>3391</v>
      </c>
      <c r="G999" s="73" t="s">
        <v>221</v>
      </c>
      <c r="H999" s="74">
        <f>[1]!'@CTA[8-2-1-3-3-3391,F,9,#6]'</f>
        <v>0</v>
      </c>
      <c r="I999" s="74">
        <f>[1]!'@CTA[8-2-3-3-3-3391,F,9,#6]'</f>
        <v>0</v>
      </c>
      <c r="J999" s="75">
        <f>[1]!'@CTA[8-2-1-3-3-3391,F,9,#6]'+[1]!'@CTA[8-2-3-3-3-3391,F,9,#6]'</f>
        <v>0</v>
      </c>
      <c r="K999" s="76">
        <f>[1]!'@CTA[8-2-4-3-3-3391,J,9,#6]'</f>
        <v>0</v>
      </c>
      <c r="L999" s="76">
        <f>[1]!'@CTA[8-2-5-3-3-3391,J,9,#6]'</f>
        <v>0</v>
      </c>
      <c r="M999" s="76">
        <f>[1]!'@CTA[8-2-6-3-3-3391,J,9,#6]'</f>
        <v>0</v>
      </c>
      <c r="N999" s="74">
        <f>[1]!'@CTA[8-2-7-3-3-3391,F,9,#6]'</f>
        <v>0</v>
      </c>
      <c r="O999" s="66">
        <f t="shared" si="68"/>
        <v>0</v>
      </c>
    </row>
    <row r="1000" spans="1:15" ht="120" x14ac:dyDescent="0.2">
      <c r="A1000" s="67" t="s">
        <v>302</v>
      </c>
      <c r="B1000" s="61" t="s">
        <v>152</v>
      </c>
      <c r="C1000" s="61" t="s">
        <v>149</v>
      </c>
      <c r="D1000" s="62" t="s">
        <v>308</v>
      </c>
      <c r="E1000" s="71" t="s">
        <v>177</v>
      </c>
      <c r="F1000" s="72">
        <v>3411</v>
      </c>
      <c r="G1000" s="73" t="s">
        <v>222</v>
      </c>
      <c r="H1000" s="74">
        <f>[1]!'@CTA[8-2-1-3-4-3411,F,9,#6]'</f>
        <v>0</v>
      </c>
      <c r="I1000" s="74">
        <f>[1]!'@CTA[8-2-3-3-4-3411,F,9,#6]'</f>
        <v>0</v>
      </c>
      <c r="J1000" s="75">
        <f>[1]!'@CTA[8-2-1-3-4-3411,F,9,#6]'+[1]!'@CTA[8-2-3-3-4-3411,F,9,#6]'</f>
        <v>0</v>
      </c>
      <c r="K1000" s="76">
        <f>[1]!'@CTA[8-2-4-3-4-3411,J,9,#6]'</f>
        <v>0</v>
      </c>
      <c r="L1000" s="76">
        <f>[1]!'@CTA[8-2-5-3-4-3411,J,9,#6]'</f>
        <v>0</v>
      </c>
      <c r="M1000" s="76">
        <f>[1]!'@CTA[8-2-6-3-4-3411,J,9,#6]'</f>
        <v>0</v>
      </c>
      <c r="N1000" s="74">
        <f>[1]!'@CTA[8-2-7-3-4-3411,F,9,#6]'</f>
        <v>0</v>
      </c>
      <c r="O1000" s="66">
        <f t="shared" si="68"/>
        <v>0</v>
      </c>
    </row>
    <row r="1001" spans="1:15" ht="120" x14ac:dyDescent="0.2">
      <c r="A1001" s="67" t="s">
        <v>302</v>
      </c>
      <c r="B1001" s="61" t="s">
        <v>152</v>
      </c>
      <c r="C1001" s="61" t="s">
        <v>149</v>
      </c>
      <c r="D1001" s="62" t="s">
        <v>308</v>
      </c>
      <c r="E1001" s="71" t="s">
        <v>177</v>
      </c>
      <c r="F1001" s="72">
        <v>3431</v>
      </c>
      <c r="G1001" s="73" t="s">
        <v>223</v>
      </c>
      <c r="H1001" s="74">
        <f>[1]!'@CTA[8-2-1-3-4-3431,F,9,#6]'</f>
        <v>0</v>
      </c>
      <c r="I1001" s="74">
        <f>[1]!'@CTA[8-2-3-3-4-3431,F,9,#6]'</f>
        <v>0</v>
      </c>
      <c r="J1001" s="75">
        <f>[1]!'@CTA[8-2-1-3-4-3431,F,9,#6]'+[1]!'@CTA[8-2-3-3-4-3431,F,9,#6]'</f>
        <v>0</v>
      </c>
      <c r="K1001" s="76">
        <f>[1]!'@CTA[8-2-4-3-4-3431,J,9,#6]'</f>
        <v>0</v>
      </c>
      <c r="L1001" s="76">
        <f>[1]!'@CTA[8-2-5-3-4-3431,J,9,#6]'</f>
        <v>0</v>
      </c>
      <c r="M1001" s="76">
        <f>[1]!'@CTA[8-2-6-3-4-3431,J,9,#6]'</f>
        <v>0</v>
      </c>
      <c r="N1001" s="74">
        <f>[1]!'@CTA[8-2-7-3-4-3431,F,9,#6]'</f>
        <v>0</v>
      </c>
      <c r="O1001" s="66">
        <f t="shared" si="68"/>
        <v>0</v>
      </c>
    </row>
    <row r="1002" spans="1:15" ht="120" x14ac:dyDescent="0.2">
      <c r="A1002" s="67" t="s">
        <v>302</v>
      </c>
      <c r="B1002" s="61" t="s">
        <v>152</v>
      </c>
      <c r="C1002" s="61" t="s">
        <v>149</v>
      </c>
      <c r="D1002" s="62" t="s">
        <v>308</v>
      </c>
      <c r="E1002" s="71" t="s">
        <v>177</v>
      </c>
      <c r="F1002" s="72">
        <v>3451</v>
      </c>
      <c r="G1002" s="73" t="s">
        <v>224</v>
      </c>
      <c r="H1002" s="74">
        <f>[1]!'@CTA[8-2-1-3-4-3451,F,9,#6]'</f>
        <v>7866</v>
      </c>
      <c r="I1002" s="74">
        <f>[1]!'@CTA[8-2-3-3-4-3451,F,9,#6]'</f>
        <v>0</v>
      </c>
      <c r="J1002" s="75">
        <f>[1]!'@CTA[8-2-1-3-4-3451,F,9,#6]'+[1]!'@CTA[8-2-3-3-4-3451,F,9,#6]'</f>
        <v>7866</v>
      </c>
      <c r="K1002" s="76">
        <f>[1]!'@CTA[8-2-4-3-4-3451,J,9,#6]'</f>
        <v>60.179999999999993</v>
      </c>
      <c r="L1002" s="76">
        <f>[1]!'@CTA[8-2-5-3-4-3451,J,9,#6]'</f>
        <v>60.179999999999993</v>
      </c>
      <c r="M1002" s="76">
        <f>[1]!'@CTA[8-2-6-3-4-3451,J,9,#6]'</f>
        <v>60.179999999999993</v>
      </c>
      <c r="N1002" s="74">
        <f>[1]!'@CTA[8-2-7-3-4-3451,F,9,#6]'</f>
        <v>60.180000000001812</v>
      </c>
      <c r="O1002" s="66">
        <f t="shared" si="68"/>
        <v>7805.82</v>
      </c>
    </row>
    <row r="1003" spans="1:15" ht="120" x14ac:dyDescent="0.2">
      <c r="A1003" s="67" t="s">
        <v>302</v>
      </c>
      <c r="B1003" s="61" t="s">
        <v>152</v>
      </c>
      <c r="C1003" s="61" t="s">
        <v>149</v>
      </c>
      <c r="D1003" s="62" t="s">
        <v>308</v>
      </c>
      <c r="E1003" s="71" t="s">
        <v>177</v>
      </c>
      <c r="F1003" s="72">
        <v>3471</v>
      </c>
      <c r="G1003" s="73" t="s">
        <v>225</v>
      </c>
      <c r="H1003" s="74">
        <f>[1]!'@CTA[8-2-1-3-4-3471,F,9,#6]'</f>
        <v>0</v>
      </c>
      <c r="I1003" s="74">
        <f>[1]!'@CTA[8-2-3-3-4-3471,F,9,#6]'</f>
        <v>0</v>
      </c>
      <c r="J1003" s="75">
        <f>[1]!'@CTA[8-2-1-3-4-3471,F,9,#6]'+[1]!'@CTA[8-2-3-3-4-3471,F,9,#6]'</f>
        <v>0</v>
      </c>
      <c r="K1003" s="76">
        <f>[1]!'@CTA[8-2-4-3-4-3471,J,9,#6]'</f>
        <v>0</v>
      </c>
      <c r="L1003" s="76">
        <f>[1]!'@CTA[8-2-5-3-4-3471,J,9,#6]'</f>
        <v>0</v>
      </c>
      <c r="M1003" s="76">
        <f>[1]!'@CTA[8-2-6-3-4-3471,J,9,#6]'</f>
        <v>0</v>
      </c>
      <c r="N1003" s="74">
        <f>[1]!'@CTA[8-2-7-3-4-3471,F,9,#6]'</f>
        <v>0</v>
      </c>
      <c r="O1003" s="66">
        <f t="shared" si="68"/>
        <v>0</v>
      </c>
    </row>
    <row r="1004" spans="1:15" ht="120" x14ac:dyDescent="0.2">
      <c r="A1004" s="67" t="s">
        <v>302</v>
      </c>
      <c r="B1004" s="61" t="s">
        <v>152</v>
      </c>
      <c r="C1004" s="61" t="s">
        <v>149</v>
      </c>
      <c r="D1004" s="62" t="s">
        <v>308</v>
      </c>
      <c r="E1004" s="71" t="s">
        <v>177</v>
      </c>
      <c r="F1004" s="72">
        <v>3491</v>
      </c>
      <c r="G1004" s="73" t="s">
        <v>226</v>
      </c>
      <c r="H1004" s="74">
        <f>[1]!'@CTA[8-2-1-3-4-3491,F,9,#6]'</f>
        <v>1548</v>
      </c>
      <c r="I1004" s="74">
        <f>[1]!'@CTA[8-2-3-3-4-3491,F,9,#6]'</f>
        <v>0</v>
      </c>
      <c r="J1004" s="75">
        <f>[1]!'@CTA[8-2-1-3-4-3491,F,9,#6]'+[1]!'@CTA[8-2-3-3-4-3491,F,9,#6]'</f>
        <v>1548</v>
      </c>
      <c r="K1004" s="76">
        <f>[1]!'@CTA[8-2-4-3-4-3491,J,9,#6]'</f>
        <v>343.64</v>
      </c>
      <c r="L1004" s="76">
        <f>[1]!'@CTA[8-2-5-3-4-3491,J,9,#6]'</f>
        <v>343.64</v>
      </c>
      <c r="M1004" s="76">
        <f>[1]!'@CTA[8-2-6-3-4-3491,J,9,#6]'</f>
        <v>343.64</v>
      </c>
      <c r="N1004" s="74">
        <f>[1]!'@CTA[8-2-7-3-4-3491,F,9,#6]'</f>
        <v>343.64</v>
      </c>
      <c r="O1004" s="66">
        <f t="shared" si="68"/>
        <v>1204.3600000000001</v>
      </c>
    </row>
    <row r="1005" spans="1:15" ht="120" x14ac:dyDescent="0.2">
      <c r="A1005" s="67" t="s">
        <v>302</v>
      </c>
      <c r="B1005" s="61" t="s">
        <v>152</v>
      </c>
      <c r="C1005" s="61" t="s">
        <v>149</v>
      </c>
      <c r="D1005" s="62" t="s">
        <v>308</v>
      </c>
      <c r="E1005" s="71" t="s">
        <v>177</v>
      </c>
      <c r="F1005" s="72">
        <v>3511</v>
      </c>
      <c r="G1005" s="73" t="s">
        <v>227</v>
      </c>
      <c r="H1005" s="74">
        <f>[1]!'@CTA[8-2-1-3-5-3511,F,9,#6]'</f>
        <v>0</v>
      </c>
      <c r="I1005" s="74">
        <f>[1]!'@CTA[8-2-3-3-5-3511,F,9,#6]'</f>
        <v>0</v>
      </c>
      <c r="J1005" s="75">
        <f>[1]!'@CTA[8-2-1-3-5-3511,F,9,#6]'+[1]!'@CTA[8-2-3-3-5-3511,F,9,#6]'</f>
        <v>0</v>
      </c>
      <c r="K1005" s="76">
        <f>[1]!'@CTA[8-2-4-3-5-3511,J,9,#6]'</f>
        <v>0</v>
      </c>
      <c r="L1005" s="76">
        <f>[1]!'@CTA[8-2-5-3-5-3511,J,9,#6]'</f>
        <v>0</v>
      </c>
      <c r="M1005" s="76">
        <f>[1]!'@CTA[8-2-6-3-5-3511,J,9,#6]'</f>
        <v>0</v>
      </c>
      <c r="N1005" s="74">
        <f>[1]!'@CTA[8-2-7-3-5-3511,F,9,#6]'</f>
        <v>0</v>
      </c>
      <c r="O1005" s="66">
        <f t="shared" si="68"/>
        <v>0</v>
      </c>
    </row>
    <row r="1006" spans="1:15" ht="120" x14ac:dyDescent="0.2">
      <c r="A1006" s="67" t="s">
        <v>302</v>
      </c>
      <c r="B1006" s="61" t="s">
        <v>152</v>
      </c>
      <c r="C1006" s="61" t="s">
        <v>149</v>
      </c>
      <c r="D1006" s="62" t="s">
        <v>308</v>
      </c>
      <c r="E1006" s="71" t="s">
        <v>177</v>
      </c>
      <c r="F1006" s="72">
        <v>3521</v>
      </c>
      <c r="G1006" s="73" t="s">
        <v>228</v>
      </c>
      <c r="H1006" s="74">
        <f>[1]!'@CTA[8-2-1-3-5-3521,F,9,#6]'</f>
        <v>0</v>
      </c>
      <c r="I1006" s="74">
        <f>[1]!'@CTA[8-2-3-3-5-3521,F,9,#6]'</f>
        <v>0</v>
      </c>
      <c r="J1006" s="75">
        <f>[1]!'@CTA[8-2-1-3-5-3521,F,9,#6]'+[1]!'@CTA[8-2-3-3-5-3521,F,9,#6]'</f>
        <v>0</v>
      </c>
      <c r="K1006" s="76">
        <f>[1]!'@CTA[8-2-4-3-5-3521,J,9,#6]'</f>
        <v>0</v>
      </c>
      <c r="L1006" s="76">
        <f>[1]!'@CTA[8-2-5-3-5-3521,J,9,#6]'</f>
        <v>0</v>
      </c>
      <c r="M1006" s="76">
        <f>[1]!'@CTA[8-2-6-3-5-3521,J,9,#6]'</f>
        <v>0</v>
      </c>
      <c r="N1006" s="74">
        <f>[1]!'@CTA[8-2-7-3-5-3521,F,9,#6]'</f>
        <v>0</v>
      </c>
      <c r="O1006" s="66">
        <f t="shared" si="68"/>
        <v>0</v>
      </c>
    </row>
    <row r="1007" spans="1:15" ht="120" x14ac:dyDescent="0.2">
      <c r="A1007" s="67" t="s">
        <v>302</v>
      </c>
      <c r="B1007" s="61" t="s">
        <v>152</v>
      </c>
      <c r="C1007" s="61" t="s">
        <v>149</v>
      </c>
      <c r="D1007" s="62" t="s">
        <v>308</v>
      </c>
      <c r="E1007" s="71" t="s">
        <v>177</v>
      </c>
      <c r="F1007" s="72">
        <v>3531</v>
      </c>
      <c r="G1007" s="73" t="s">
        <v>229</v>
      </c>
      <c r="H1007" s="74">
        <f>[1]!'@CTA[8-2-1-3-5-3531,F,9,#6]'</f>
        <v>0</v>
      </c>
      <c r="I1007" s="74">
        <f>[1]!'@CTA[8-2-3-3-5-3531,F,9,#6]'</f>
        <v>0</v>
      </c>
      <c r="J1007" s="75">
        <f>[1]!'@CTA[8-2-1-3-5-3531,F,9,#6]'+[1]!'@CTA[8-2-3-3-5-3531,F,9,#6]'</f>
        <v>0</v>
      </c>
      <c r="K1007" s="76">
        <f>[1]!'@CTA[8-2-4-3-5-3531,J,9,#6]'</f>
        <v>0</v>
      </c>
      <c r="L1007" s="76">
        <f>[1]!'@CTA[8-2-5-3-5-3531,J,9,#6]'</f>
        <v>0</v>
      </c>
      <c r="M1007" s="76">
        <f>[1]!'@CTA[8-2-6-3-5-3531,J,9,#6]'</f>
        <v>0</v>
      </c>
      <c r="N1007" s="74">
        <f>[1]!'@CTA[8-2-7-3-5-3531,F,9,#6]'</f>
        <v>0</v>
      </c>
      <c r="O1007" s="66">
        <f t="shared" si="68"/>
        <v>0</v>
      </c>
    </row>
    <row r="1008" spans="1:15" ht="120" x14ac:dyDescent="0.2">
      <c r="A1008" s="67" t="s">
        <v>302</v>
      </c>
      <c r="B1008" s="61" t="s">
        <v>152</v>
      </c>
      <c r="C1008" s="61" t="s">
        <v>149</v>
      </c>
      <c r="D1008" s="62" t="s">
        <v>308</v>
      </c>
      <c r="E1008" s="71" t="s">
        <v>177</v>
      </c>
      <c r="F1008" s="72">
        <v>3551</v>
      </c>
      <c r="G1008" s="73" t="s">
        <v>230</v>
      </c>
      <c r="H1008" s="74">
        <f>[1]!'@CTA[8-2-1-3-5-3551,F,9,#6]'</f>
        <v>5400</v>
      </c>
      <c r="I1008" s="74">
        <f>[1]!'@CTA[8-2-3-3-5-3551,F,9,#6]'</f>
        <v>0</v>
      </c>
      <c r="J1008" s="75">
        <f>[1]!'@CTA[8-2-1-3-5-3551,F,9,#6]'+[1]!'@CTA[8-2-3-3-5-3551,F,9,#6]'</f>
        <v>5400</v>
      </c>
      <c r="K1008" s="76">
        <f>[1]!'@CTA[8-2-4-3-5-3551,J,9,#6]'</f>
        <v>1863.62</v>
      </c>
      <c r="L1008" s="76">
        <f>[1]!'@CTA[8-2-5-3-5-3551,J,9,#6]'</f>
        <v>1863.62</v>
      </c>
      <c r="M1008" s="76">
        <f>[1]!'@CTA[8-2-6-3-5-3551,J,9,#6]'</f>
        <v>1863.62</v>
      </c>
      <c r="N1008" s="74">
        <f>[1]!'@CTA[8-2-7-3-5-3551,F,9,#6]'</f>
        <v>1863.62</v>
      </c>
      <c r="O1008" s="66">
        <f t="shared" si="68"/>
        <v>3536.38</v>
      </c>
    </row>
    <row r="1009" spans="1:15" ht="120" x14ac:dyDescent="0.2">
      <c r="A1009" s="67" t="s">
        <v>302</v>
      </c>
      <c r="B1009" s="61" t="s">
        <v>152</v>
      </c>
      <c r="C1009" s="61" t="s">
        <v>149</v>
      </c>
      <c r="D1009" s="62" t="s">
        <v>308</v>
      </c>
      <c r="E1009" s="71" t="s">
        <v>177</v>
      </c>
      <c r="F1009" s="72">
        <v>3571</v>
      </c>
      <c r="G1009" s="73" t="s">
        <v>231</v>
      </c>
      <c r="H1009" s="74">
        <f>[1]!'@CTA[8-2-1-3-5-3571,F,9,#6]'</f>
        <v>0</v>
      </c>
      <c r="I1009" s="74">
        <f>[1]!'@CTA[8-2-3-3-5-3571,F,9,#6]'</f>
        <v>0</v>
      </c>
      <c r="J1009" s="75">
        <f>[1]!'@CTA[8-2-1-3-5-3571,F,9,#6]'+[1]!'@CTA[8-2-3-3-5-3571,F,9,#6]'</f>
        <v>0</v>
      </c>
      <c r="K1009" s="76">
        <f>[1]!'@CTA[8-2-4-3-5-3571,J,9,#6]'</f>
        <v>0</v>
      </c>
      <c r="L1009" s="76">
        <f>[1]!'@CTA[8-2-5-3-5-3571,J,9,#6]'</f>
        <v>0</v>
      </c>
      <c r="M1009" s="76">
        <f>[1]!'@CTA[8-2-6-3-5-3571,J,9,#6]'</f>
        <v>0</v>
      </c>
      <c r="N1009" s="74">
        <f>[1]!'@CTA[8-2-7-3-5-3571,F,9,#6]'</f>
        <v>0</v>
      </c>
      <c r="O1009" s="66">
        <f t="shared" si="68"/>
        <v>0</v>
      </c>
    </row>
    <row r="1010" spans="1:15" ht="120" x14ac:dyDescent="0.2">
      <c r="A1010" s="67" t="s">
        <v>302</v>
      </c>
      <c r="B1010" s="61" t="s">
        <v>152</v>
      </c>
      <c r="C1010" s="61" t="s">
        <v>149</v>
      </c>
      <c r="D1010" s="62" t="s">
        <v>308</v>
      </c>
      <c r="E1010" s="71" t="s">
        <v>177</v>
      </c>
      <c r="F1010" s="72">
        <v>3572</v>
      </c>
      <c r="G1010" s="73" t="s">
        <v>232</v>
      </c>
      <c r="H1010" s="74">
        <f>[1]!'@CTA[8-2-1-3-5-3572,F,9,#6]'</f>
        <v>0</v>
      </c>
      <c r="I1010" s="74">
        <f>[1]!'@CTA[8-2-3-3-5-3572,F,9,#6]'</f>
        <v>0</v>
      </c>
      <c r="J1010" s="75">
        <f>[1]!'@CTA[8-2-1-3-5-3572,F,9,#6]'+[1]!'@CTA[8-2-3-3-5-3572,F,9,#6]'</f>
        <v>0</v>
      </c>
      <c r="K1010" s="76">
        <f>[1]!'@CTA[8-2-4-3-5-3572,J,9,#6]'</f>
        <v>0</v>
      </c>
      <c r="L1010" s="76">
        <f>[1]!'@CTA[8-2-5-3-5-3572,J,9,#6]'</f>
        <v>0</v>
      </c>
      <c r="M1010" s="76">
        <f>[1]!'@CTA[8-2-6-3-5-3572,J,9,#6]'</f>
        <v>0</v>
      </c>
      <c r="N1010" s="74">
        <f>[1]!'@CTA[8-2-7-3-5-3572,F,9,#6]'</f>
        <v>0</v>
      </c>
      <c r="O1010" s="66">
        <f t="shared" si="68"/>
        <v>0</v>
      </c>
    </row>
    <row r="1011" spans="1:15" ht="120" x14ac:dyDescent="0.2">
      <c r="A1011" s="67" t="s">
        <v>302</v>
      </c>
      <c r="B1011" s="61" t="s">
        <v>152</v>
      </c>
      <c r="C1011" s="61" t="s">
        <v>149</v>
      </c>
      <c r="D1011" s="62" t="s">
        <v>308</v>
      </c>
      <c r="E1011" s="71" t="s">
        <v>177</v>
      </c>
      <c r="F1011" s="72">
        <v>3573</v>
      </c>
      <c r="G1011" s="73" t="s">
        <v>233</v>
      </c>
      <c r="H1011" s="74">
        <f>[1]!'@CTA[8-2-1-3-5-3573,F,9,#6]'</f>
        <v>0</v>
      </c>
      <c r="I1011" s="74">
        <f>[1]!'@CTA[8-2-3-3-5-3573,F,9,#6]'</f>
        <v>0</v>
      </c>
      <c r="J1011" s="75">
        <f>[1]!'@CTA[8-2-1-3-5-3573,F,9,#6]'+[1]!'@CTA[8-2-3-3-5-3573,F,9,#6]'</f>
        <v>0</v>
      </c>
      <c r="K1011" s="76">
        <f>[1]!'@CTA[8-2-4-3-5-3573,J,9,#6]'</f>
        <v>0</v>
      </c>
      <c r="L1011" s="76">
        <f>[1]!'@CTA[8-2-5-3-5-3573,J,9,#6]'</f>
        <v>0</v>
      </c>
      <c r="M1011" s="76">
        <f>[1]!'@CTA[8-2-6-3-5-3573,J,9,#6]'</f>
        <v>0</v>
      </c>
      <c r="N1011" s="74">
        <f>[1]!'@CTA[8-2-7-3-5-3573,F,9,#6]'</f>
        <v>0</v>
      </c>
      <c r="O1011" s="66">
        <f t="shared" si="68"/>
        <v>0</v>
      </c>
    </row>
    <row r="1012" spans="1:15" ht="120" x14ac:dyDescent="0.2">
      <c r="A1012" s="67" t="s">
        <v>302</v>
      </c>
      <c r="B1012" s="61" t="s">
        <v>152</v>
      </c>
      <c r="C1012" s="61" t="s">
        <v>149</v>
      </c>
      <c r="D1012" s="62" t="s">
        <v>308</v>
      </c>
      <c r="E1012" s="71" t="s">
        <v>177</v>
      </c>
      <c r="F1012" s="72">
        <v>3574</v>
      </c>
      <c r="G1012" s="73" t="s">
        <v>234</v>
      </c>
      <c r="H1012" s="74">
        <f>[1]!'@CTA[8-2-1-3-5-3574,F,9,#6]'</f>
        <v>0</v>
      </c>
      <c r="I1012" s="74">
        <f>[1]!'@CTA[8-2-3-3-5-3574,F,9,#6]'</f>
        <v>0</v>
      </c>
      <c r="J1012" s="75">
        <f>[1]!'@CTA[8-2-1-3-5-3574,F,9,#6]'+[1]!'@CTA[8-2-3-3-5-3574,F,9,#6]'</f>
        <v>0</v>
      </c>
      <c r="K1012" s="76">
        <f>[1]!'@CTA[8-2-4-3-5-3574,J,9,#6]'</f>
        <v>0</v>
      </c>
      <c r="L1012" s="76">
        <f>[1]!'@CTA[8-2-5-3-5-3574,J,9,#6]'</f>
        <v>0</v>
      </c>
      <c r="M1012" s="76">
        <f>[1]!'@CTA[8-2-6-3-5-3574,J,9,#6]'</f>
        <v>0</v>
      </c>
      <c r="N1012" s="74">
        <f>[1]!'@CTA[8-2-7-3-5-3574,F,9,#6]'</f>
        <v>0</v>
      </c>
      <c r="O1012" s="66">
        <f t="shared" si="68"/>
        <v>0</v>
      </c>
    </row>
    <row r="1013" spans="1:15" ht="120" x14ac:dyDescent="0.2">
      <c r="A1013" s="67" t="s">
        <v>302</v>
      </c>
      <c r="B1013" s="61" t="s">
        <v>152</v>
      </c>
      <c r="C1013" s="61" t="s">
        <v>149</v>
      </c>
      <c r="D1013" s="62" t="s">
        <v>308</v>
      </c>
      <c r="E1013" s="71" t="s">
        <v>177</v>
      </c>
      <c r="F1013" s="72">
        <v>3575</v>
      </c>
      <c r="G1013" s="73" t="s">
        <v>235</v>
      </c>
      <c r="H1013" s="74">
        <f>[1]!'@CTA[8-2-1-3-5-3575,F,9,#6]'</f>
        <v>0</v>
      </c>
      <c r="I1013" s="74">
        <f>[1]!'@CTA[8-2-3-3-5-3575,F,9,#6]'</f>
        <v>0</v>
      </c>
      <c r="J1013" s="75">
        <f>[1]!'@CTA[8-2-1-3-5-3575,F,9,#6]'+[1]!'@CTA[8-2-3-3-5-3575,F,9,#6]'</f>
        <v>0</v>
      </c>
      <c r="K1013" s="76">
        <f>[1]!'@CTA[8-2-4-3-5-3575,J,9,#6]'</f>
        <v>0</v>
      </c>
      <c r="L1013" s="76">
        <f>[1]!'@CTA[8-2-5-3-5-3575,J,9,#6]'</f>
        <v>0</v>
      </c>
      <c r="M1013" s="76">
        <f>[1]!'@CTA[8-2-6-3-5-3575,J,9,#6]'</f>
        <v>0</v>
      </c>
      <c r="N1013" s="74">
        <f>[1]!'@CTA[8-2-7-3-5-3575,F,9,#6]'</f>
        <v>0</v>
      </c>
      <c r="O1013" s="66">
        <f t="shared" si="68"/>
        <v>0</v>
      </c>
    </row>
    <row r="1014" spans="1:15" ht="120" x14ac:dyDescent="0.2">
      <c r="A1014" s="67" t="s">
        <v>302</v>
      </c>
      <c r="B1014" s="61" t="s">
        <v>152</v>
      </c>
      <c r="C1014" s="61" t="s">
        <v>149</v>
      </c>
      <c r="D1014" s="62" t="s">
        <v>308</v>
      </c>
      <c r="E1014" s="71" t="s">
        <v>177</v>
      </c>
      <c r="F1014" s="72">
        <v>3576</v>
      </c>
      <c r="G1014" s="73" t="s">
        <v>236</v>
      </c>
      <c r="H1014" s="74">
        <f>[1]!'@CTA[8-2-1-3-5-3576,F,9,#6]'</f>
        <v>0</v>
      </c>
      <c r="I1014" s="74">
        <f>[1]!'@CTA[8-2-3-3-5-3576,F,9,#6]'</f>
        <v>0</v>
      </c>
      <c r="J1014" s="75">
        <f>[1]!'@CTA[8-2-1-3-5-3576,F,9,#6]'+[1]!'@CTA[8-2-3-3-5-3576,F,9,#6]'</f>
        <v>0</v>
      </c>
      <c r="K1014" s="76">
        <f>[1]!'@CTA[8-2-4-3-5-3576,J,9,#6]'</f>
        <v>0</v>
      </c>
      <c r="L1014" s="76">
        <f>[1]!'@CTA[8-2-5-3-5-3576,J,9,#6]'</f>
        <v>0</v>
      </c>
      <c r="M1014" s="76">
        <f>[1]!'@CTA[8-2-6-3-5-3576,J,9,#6]'</f>
        <v>0</v>
      </c>
      <c r="N1014" s="74">
        <f>[1]!'@CTA[8-2-7-3-5-3576,F,9,#6]'</f>
        <v>0</v>
      </c>
      <c r="O1014" s="66">
        <f t="shared" si="68"/>
        <v>0</v>
      </c>
    </row>
    <row r="1015" spans="1:15" ht="120" x14ac:dyDescent="0.2">
      <c r="A1015" s="67" t="s">
        <v>302</v>
      </c>
      <c r="B1015" s="61" t="s">
        <v>152</v>
      </c>
      <c r="C1015" s="61" t="s">
        <v>149</v>
      </c>
      <c r="D1015" s="62" t="s">
        <v>308</v>
      </c>
      <c r="E1015" s="71" t="s">
        <v>177</v>
      </c>
      <c r="F1015" s="72">
        <v>3577</v>
      </c>
      <c r="G1015" s="73" t="s">
        <v>237</v>
      </c>
      <c r="H1015" s="74">
        <f>[1]!'@CTA[8-2-1-3-5-3577,F,9,#6]'</f>
        <v>0</v>
      </c>
      <c r="I1015" s="74">
        <f>[1]!'@CTA[8-2-3-3-5-3577,F,9,#6]'</f>
        <v>0</v>
      </c>
      <c r="J1015" s="75">
        <f>[1]!'@CTA[8-2-1-3-5-3577,F,9,#6]'+[1]!'@CTA[8-2-3-3-5-3577,F,9,#6]'</f>
        <v>0</v>
      </c>
      <c r="K1015" s="76">
        <f>[1]!'@CTA[8-2-4-3-5-3577,J,9,#6]'</f>
        <v>0</v>
      </c>
      <c r="L1015" s="76">
        <f>[1]!'@CTA[8-2-5-3-5-3577,J,9,#6]'</f>
        <v>0</v>
      </c>
      <c r="M1015" s="76">
        <f>[1]!'@CTA[8-2-6-3-5-3577,J,9,#6]'</f>
        <v>0</v>
      </c>
      <c r="N1015" s="74">
        <f>[1]!'@CTA[8-2-7-3-5-3577,F,9,#6]'</f>
        <v>0</v>
      </c>
      <c r="O1015" s="66">
        <f t="shared" si="68"/>
        <v>0</v>
      </c>
    </row>
    <row r="1016" spans="1:15" ht="120" x14ac:dyDescent="0.2">
      <c r="A1016" s="67" t="s">
        <v>302</v>
      </c>
      <c r="B1016" s="61" t="s">
        <v>152</v>
      </c>
      <c r="C1016" s="61" t="s">
        <v>149</v>
      </c>
      <c r="D1016" s="62" t="s">
        <v>308</v>
      </c>
      <c r="E1016" s="71" t="s">
        <v>177</v>
      </c>
      <c r="F1016" s="72">
        <v>3611</v>
      </c>
      <c r="G1016" s="73" t="s">
        <v>238</v>
      </c>
      <c r="H1016" s="74">
        <f>[1]!'@CTA[8-2-1-3-6-3611,F,9,#6]'</f>
        <v>0</v>
      </c>
      <c r="I1016" s="74">
        <f>[1]!'@CTA[8-2-3-3-6-3611,F,9,#6]'</f>
        <v>0</v>
      </c>
      <c r="J1016" s="75">
        <f>[1]!'@CTA[8-2-1-3-6-3611,F,9,#6]'+[1]!'@CTA[8-2-3-3-6-3611,F,9,#6]'</f>
        <v>0</v>
      </c>
      <c r="K1016" s="76">
        <f>[1]!'@CTA[8-2-4-3-6-3611,J,9,#6]'</f>
        <v>0</v>
      </c>
      <c r="L1016" s="76">
        <f>[1]!'@CTA[8-2-5-3-6-3611,J,9,#6]'</f>
        <v>0</v>
      </c>
      <c r="M1016" s="76">
        <f>[1]!'@CTA[8-2-6-3-6-3611,J,9,#6]'</f>
        <v>0</v>
      </c>
      <c r="N1016" s="74">
        <f>[1]!'@CTA[8-2-7-3-6-3611,F,9,#6]'</f>
        <v>0</v>
      </c>
      <c r="O1016" s="66">
        <f t="shared" si="68"/>
        <v>0</v>
      </c>
    </row>
    <row r="1017" spans="1:15" ht="120" x14ac:dyDescent="0.2">
      <c r="A1017" s="67" t="s">
        <v>302</v>
      </c>
      <c r="B1017" s="61" t="s">
        <v>152</v>
      </c>
      <c r="C1017" s="61" t="s">
        <v>149</v>
      </c>
      <c r="D1017" s="62" t="s">
        <v>308</v>
      </c>
      <c r="E1017" s="71" t="s">
        <v>177</v>
      </c>
      <c r="F1017" s="72">
        <v>3721</v>
      </c>
      <c r="G1017" s="73" t="s">
        <v>239</v>
      </c>
      <c r="H1017" s="74">
        <f>[1]!'@CTA[8-2-1-3-7-3721,F,9,#6]'</f>
        <v>900</v>
      </c>
      <c r="I1017" s="74">
        <f>[1]!'@CTA[8-2-3-3-7-3721,F,9,#6]'</f>
        <v>0</v>
      </c>
      <c r="J1017" s="75">
        <f>[1]!'@CTA[8-2-1-3-7-3721,F,9,#6]'+[1]!'@CTA[8-2-3-3-7-3721,F,9,#6]'</f>
        <v>900</v>
      </c>
      <c r="K1017" s="76">
        <f>[1]!'@CTA[8-2-4-3-7-3721,J,9,#6]'</f>
        <v>0</v>
      </c>
      <c r="L1017" s="76">
        <f>[1]!'@CTA[8-2-5-3-7-3721,J,9,#6]'</f>
        <v>0</v>
      </c>
      <c r="M1017" s="76">
        <f>[1]!'@CTA[8-2-6-3-7-3721,J,9,#6]'</f>
        <v>0</v>
      </c>
      <c r="N1017" s="74">
        <f>[1]!'@CTA[8-2-7-3-7-3721,F,9,#6]'</f>
        <v>0</v>
      </c>
      <c r="O1017" s="66">
        <f t="shared" si="68"/>
        <v>900</v>
      </c>
    </row>
    <row r="1018" spans="1:15" ht="120" x14ac:dyDescent="0.2">
      <c r="A1018" s="67" t="s">
        <v>302</v>
      </c>
      <c r="B1018" s="61" t="s">
        <v>152</v>
      </c>
      <c r="C1018" s="61" t="s">
        <v>149</v>
      </c>
      <c r="D1018" s="62" t="s">
        <v>308</v>
      </c>
      <c r="E1018" s="71" t="s">
        <v>177</v>
      </c>
      <c r="F1018" s="72">
        <v>3722</v>
      </c>
      <c r="G1018" s="73" t="s">
        <v>240</v>
      </c>
      <c r="H1018" s="74">
        <f>[1]!'@CTA[8-2-1-3-7-3722,F,9,#6]'</f>
        <v>0</v>
      </c>
      <c r="I1018" s="74">
        <f>[1]!'@CTA[8-2-3-3-7-3722,F,9,#6]'</f>
        <v>0</v>
      </c>
      <c r="J1018" s="75">
        <f>[1]!'@CTA[8-2-1-3-7-3722,F,9,#6]'+[1]!'@CTA[8-2-3-3-7-3722,F,9,#6]'</f>
        <v>0</v>
      </c>
      <c r="K1018" s="76">
        <f>[1]!'@CTA[8-2-4-3-7-3722,J,9,#6]'</f>
        <v>0</v>
      </c>
      <c r="L1018" s="76">
        <f>[1]!'@CTA[8-2-5-3-7-3722,J,9,#6]'</f>
        <v>0</v>
      </c>
      <c r="M1018" s="76">
        <f>[1]!'@CTA[8-2-6-3-7-3722,J,9,#6]'</f>
        <v>0</v>
      </c>
      <c r="N1018" s="74">
        <f>[1]!'@CTA[8-2-7-3-7-3722,F,9,#6]'</f>
        <v>0</v>
      </c>
      <c r="O1018" s="66">
        <f t="shared" si="68"/>
        <v>0</v>
      </c>
    </row>
    <row r="1019" spans="1:15" ht="120" x14ac:dyDescent="0.2">
      <c r="A1019" s="67" t="s">
        <v>302</v>
      </c>
      <c r="B1019" s="61" t="s">
        <v>152</v>
      </c>
      <c r="C1019" s="61" t="s">
        <v>149</v>
      </c>
      <c r="D1019" s="62" t="s">
        <v>308</v>
      </c>
      <c r="E1019" s="71" t="s">
        <v>177</v>
      </c>
      <c r="F1019" s="72">
        <v>3751</v>
      </c>
      <c r="G1019" s="73" t="s">
        <v>241</v>
      </c>
      <c r="H1019" s="74">
        <f>[1]!'@CTA[8-2-1-3-7-3751,F,9,#6]'</f>
        <v>1800</v>
      </c>
      <c r="I1019" s="74">
        <f>[1]!'@CTA[8-2-3-3-7-3751,F,9,#6]'</f>
        <v>0</v>
      </c>
      <c r="J1019" s="75">
        <f>[1]!'@CTA[8-2-1-3-7-3751,F,9,#6]'+[1]!'@CTA[8-2-3-3-7-3751,F,9,#6]'</f>
        <v>1800</v>
      </c>
      <c r="K1019" s="76">
        <f>[1]!'@CTA[8-2-4-3-7-3751,J,9,#6]'</f>
        <v>367.41999999999996</v>
      </c>
      <c r="L1019" s="76">
        <f>[1]!'@CTA[8-2-5-3-7-3751,J,9,#6]'</f>
        <v>367.41999999999996</v>
      </c>
      <c r="M1019" s="76">
        <f>[1]!'@CTA[8-2-6-3-7-3751,J,9,#6]'</f>
        <v>367.41999999999996</v>
      </c>
      <c r="N1019" s="74">
        <f>[1]!'@CTA[8-2-7-3-7-3751,F,9,#6]'</f>
        <v>367.42000000000019</v>
      </c>
      <c r="O1019" s="66">
        <f t="shared" si="68"/>
        <v>1432.58</v>
      </c>
    </row>
    <row r="1020" spans="1:15" ht="120" x14ac:dyDescent="0.2">
      <c r="A1020" s="67" t="s">
        <v>302</v>
      </c>
      <c r="B1020" s="61" t="s">
        <v>152</v>
      </c>
      <c r="C1020" s="61" t="s">
        <v>149</v>
      </c>
      <c r="D1020" s="62" t="s">
        <v>308</v>
      </c>
      <c r="E1020" s="71" t="s">
        <v>177</v>
      </c>
      <c r="F1020" s="72">
        <v>3821</v>
      </c>
      <c r="G1020" s="73" t="s">
        <v>242</v>
      </c>
      <c r="H1020" s="74">
        <f>[1]!'@CTA[8-2-1-3-8-3821,F,9,#6]'</f>
        <v>0</v>
      </c>
      <c r="I1020" s="74">
        <f>[1]!'@CTA[8-2-3-3-8-3821,F,9,#6]'</f>
        <v>0</v>
      </c>
      <c r="J1020" s="75">
        <f>[1]!'@CTA[8-2-1-3-8-3821,F,9,#6]'+[1]!'@CTA[8-2-3-3-8-3821,F,9,#6]'</f>
        <v>0</v>
      </c>
      <c r="K1020" s="76">
        <f>[1]!'@CTA[8-2-4-3-8-3821,J,9,#6]'</f>
        <v>0</v>
      </c>
      <c r="L1020" s="76">
        <f>[1]!'@CTA[8-2-5-3-8-3821,J,9,#6]'</f>
        <v>0</v>
      </c>
      <c r="M1020" s="76">
        <f>[1]!'@CTA[8-2-6-3-8-3821,J,9,#6]'</f>
        <v>0</v>
      </c>
      <c r="N1020" s="74">
        <f>[1]!'@CTA[8-2-7-3-8-3821,F,9,#6]'</f>
        <v>0</v>
      </c>
      <c r="O1020" s="66">
        <f t="shared" si="68"/>
        <v>0</v>
      </c>
    </row>
    <row r="1021" spans="1:15" ht="120" x14ac:dyDescent="0.2">
      <c r="A1021" s="67" t="s">
        <v>302</v>
      </c>
      <c r="B1021" s="61" t="s">
        <v>152</v>
      </c>
      <c r="C1021" s="61" t="s">
        <v>149</v>
      </c>
      <c r="D1021" s="62" t="s">
        <v>308</v>
      </c>
      <c r="E1021" s="71" t="s">
        <v>177</v>
      </c>
      <c r="F1021" s="72">
        <v>3822</v>
      </c>
      <c r="G1021" s="73" t="s">
        <v>243</v>
      </c>
      <c r="H1021" s="74">
        <f>[1]!'@CTA[8-2-1-3-8-3822,F,9,#6]'</f>
        <v>0</v>
      </c>
      <c r="I1021" s="74">
        <f>[1]!'@CTA[8-2-3-3-8-3822,F,9,#6]'</f>
        <v>0</v>
      </c>
      <c r="J1021" s="75">
        <f>[1]!'@CTA[8-2-1-3-8-3822,F,9,#6]'+[1]!'@CTA[8-2-3-3-8-3822,F,9,#6]'</f>
        <v>0</v>
      </c>
      <c r="K1021" s="76">
        <f>[1]!'@CTA[8-2-4-3-8-3822,J,9,#6]'</f>
        <v>0</v>
      </c>
      <c r="L1021" s="76">
        <f>[1]!'@CTA[8-2-5-3-8-3822,J,9,#6]'</f>
        <v>0</v>
      </c>
      <c r="M1021" s="76">
        <f>[1]!'@CTA[8-2-6-3-8-3822,J,9,#6]'</f>
        <v>0</v>
      </c>
      <c r="N1021" s="74">
        <f>[1]!'@CTA[8-2-7-3-8-3822,F,9,#6]'</f>
        <v>0</v>
      </c>
      <c r="O1021" s="66">
        <f t="shared" si="68"/>
        <v>0</v>
      </c>
    </row>
    <row r="1022" spans="1:15" ht="120" x14ac:dyDescent="0.2">
      <c r="A1022" s="67" t="s">
        <v>302</v>
      </c>
      <c r="B1022" s="61" t="s">
        <v>152</v>
      </c>
      <c r="C1022" s="61" t="s">
        <v>149</v>
      </c>
      <c r="D1022" s="62" t="s">
        <v>308</v>
      </c>
      <c r="E1022" s="71" t="s">
        <v>177</v>
      </c>
      <c r="F1022" s="72">
        <v>3831</v>
      </c>
      <c r="G1022" s="73" t="s">
        <v>244</v>
      </c>
      <c r="H1022" s="74">
        <f>[1]!'@CTA[8-2-1-3-8-3831,F,9,#6]'</f>
        <v>0</v>
      </c>
      <c r="I1022" s="74">
        <f>[1]!'@CTA[8-2-3-3-8-3831,F,9,#6]'</f>
        <v>0</v>
      </c>
      <c r="J1022" s="75">
        <f>[1]!'@CTA[8-2-1-3-8-3831,F,9,#6]'+[1]!'@CTA[8-2-3-3-8-3831,F,9,#6]'</f>
        <v>0</v>
      </c>
      <c r="K1022" s="76">
        <f>[1]!'@CTA[8-2-4-3-8-3831,J,9,#6]'</f>
        <v>0</v>
      </c>
      <c r="L1022" s="76">
        <f>[1]!'@CTA[8-2-5-3-8-3831,J,9,#6]'</f>
        <v>0</v>
      </c>
      <c r="M1022" s="76">
        <f>[1]!'@CTA[8-2-6-3-8-3831,J,9,#6]'</f>
        <v>0</v>
      </c>
      <c r="N1022" s="74">
        <f>[1]!'@CTA[8-2-7-3-8-3831,F,9,#6]'</f>
        <v>0</v>
      </c>
      <c r="O1022" s="66">
        <f t="shared" si="68"/>
        <v>0</v>
      </c>
    </row>
    <row r="1023" spans="1:15" ht="120" x14ac:dyDescent="0.2">
      <c r="A1023" s="67" t="s">
        <v>302</v>
      </c>
      <c r="B1023" s="61" t="s">
        <v>152</v>
      </c>
      <c r="C1023" s="61" t="s">
        <v>149</v>
      </c>
      <c r="D1023" s="62" t="s">
        <v>308</v>
      </c>
      <c r="E1023" s="71" t="s">
        <v>177</v>
      </c>
      <c r="F1023" s="72">
        <v>3851</v>
      </c>
      <c r="G1023" s="73" t="s">
        <v>245</v>
      </c>
      <c r="H1023" s="74">
        <f>[1]!'@CTA[8-2-1-3-8-3851,F,9,#6]'</f>
        <v>0</v>
      </c>
      <c r="I1023" s="74">
        <f>[1]!'@CTA[8-2-3-3-8-3851,F,9,#6]'</f>
        <v>0</v>
      </c>
      <c r="J1023" s="75">
        <f>[1]!'@CTA[8-2-1-3-8-3851,F,9,#6]'+[1]!'@CTA[8-2-3-3-8-3851,F,9,#6]'</f>
        <v>0</v>
      </c>
      <c r="K1023" s="76">
        <f>[1]!'@CTA[8-2-4-3-8-3851,J,9,#6]'</f>
        <v>0</v>
      </c>
      <c r="L1023" s="76">
        <f>[1]!'@CTA[8-2-5-3-8-3851,J,9,#6]'</f>
        <v>0</v>
      </c>
      <c r="M1023" s="76">
        <f>[1]!'@CTA[8-2-6-3-8-3851,J,9,#6]'</f>
        <v>0</v>
      </c>
      <c r="N1023" s="74">
        <f>[1]!'@CTA[8-2-7-3-8-3851,F,9,#6]'</f>
        <v>0</v>
      </c>
      <c r="O1023" s="66">
        <f t="shared" si="68"/>
        <v>0</v>
      </c>
    </row>
    <row r="1024" spans="1:15" ht="120" x14ac:dyDescent="0.2">
      <c r="A1024" s="67" t="s">
        <v>302</v>
      </c>
      <c r="B1024" s="61" t="s">
        <v>152</v>
      </c>
      <c r="C1024" s="61" t="s">
        <v>149</v>
      </c>
      <c r="D1024" s="62" t="s">
        <v>308</v>
      </c>
      <c r="E1024" s="71" t="s">
        <v>177</v>
      </c>
      <c r="F1024" s="72">
        <v>3921</v>
      </c>
      <c r="G1024" s="73" t="s">
        <v>246</v>
      </c>
      <c r="H1024" s="74">
        <f>[1]!'@CTA[8-2-1-3-9-3921,F,9,#6]'</f>
        <v>0</v>
      </c>
      <c r="I1024" s="74">
        <f>[1]!'@CTA[8-2-3-3-9-3921,F,9,#6]'</f>
        <v>0</v>
      </c>
      <c r="J1024" s="75">
        <f>[1]!'@CTA[8-2-1-3-9-3921,F,9,#6]'+[1]!'@CTA[8-2-3-3-9-3921,F,9,#6]'</f>
        <v>0</v>
      </c>
      <c r="K1024" s="76">
        <f>[1]!'@CTA[8-2-4-3-9-3921,J,9,#6]'</f>
        <v>0</v>
      </c>
      <c r="L1024" s="76">
        <f>[1]!'@CTA[8-2-5-3-9-3921,J,9,#6]'</f>
        <v>0</v>
      </c>
      <c r="M1024" s="76">
        <f>[1]!'@CTA[8-2-6-3-9-3921,J,9,#6]'</f>
        <v>0</v>
      </c>
      <c r="N1024" s="74">
        <f>[1]!'@CTA[8-2-7-3-9-3921,F,9,#6]'</f>
        <v>0</v>
      </c>
      <c r="O1024" s="66">
        <f t="shared" si="68"/>
        <v>0</v>
      </c>
    </row>
    <row r="1025" spans="1:15" ht="120" x14ac:dyDescent="0.2">
      <c r="A1025" s="67" t="s">
        <v>302</v>
      </c>
      <c r="B1025" s="61" t="s">
        <v>152</v>
      </c>
      <c r="C1025" s="61" t="s">
        <v>149</v>
      </c>
      <c r="D1025" s="62" t="s">
        <v>308</v>
      </c>
      <c r="E1025" s="71" t="s">
        <v>177</v>
      </c>
      <c r="F1025" s="72">
        <v>3922</v>
      </c>
      <c r="G1025" s="73" t="s">
        <v>247</v>
      </c>
      <c r="H1025" s="74">
        <f>[1]!'@CTA[8-2-1-3-9-3922,F,9,#6]'</f>
        <v>0</v>
      </c>
      <c r="I1025" s="74">
        <f>[1]!'@CTA[8-2-3-3-9-3922,F,9,#6]'</f>
        <v>0</v>
      </c>
      <c r="J1025" s="75">
        <f>[1]!'@CTA[8-2-1-3-9-3922,F,9,#6]'+[1]!'@CTA[8-2-3-3-9-3922,F,9,#6]'</f>
        <v>0</v>
      </c>
      <c r="K1025" s="76">
        <f>[1]!'@CTA[8-2-4-3-9-3922,J,9,#6]'</f>
        <v>0</v>
      </c>
      <c r="L1025" s="76">
        <f>[1]!'@CTA[8-2-5-3-9-3922,J,9,#6]'</f>
        <v>0</v>
      </c>
      <c r="M1025" s="76">
        <f>[1]!'@CTA[8-2-6-3-9-3922,J,9,#6]'</f>
        <v>0</v>
      </c>
      <c r="N1025" s="74">
        <f>[1]!'@CTA[8-2-7-3-9-3922,F,9,#6]'</f>
        <v>0</v>
      </c>
      <c r="O1025" s="66">
        <f t="shared" si="68"/>
        <v>0</v>
      </c>
    </row>
    <row r="1026" spans="1:15" ht="120" x14ac:dyDescent="0.2">
      <c r="A1026" s="67" t="s">
        <v>302</v>
      </c>
      <c r="B1026" s="61" t="s">
        <v>152</v>
      </c>
      <c r="C1026" s="61" t="s">
        <v>149</v>
      </c>
      <c r="D1026" s="62" t="s">
        <v>308</v>
      </c>
      <c r="E1026" s="71" t="s">
        <v>177</v>
      </c>
      <c r="F1026" s="72">
        <v>3923</v>
      </c>
      <c r="G1026" s="73" t="s">
        <v>248</v>
      </c>
      <c r="H1026" s="74">
        <f>[1]!'@CTA[8-2-1-3-9-3923,F,9,#6]'</f>
        <v>431</v>
      </c>
      <c r="I1026" s="74">
        <f>[1]!'@CTA[8-2-3-3-9-3923,F,9,#6]'</f>
        <v>0</v>
      </c>
      <c r="J1026" s="75">
        <f>[1]!'@CTA[8-2-1-3-9-3923,F,9,#6]'+[1]!'@CTA[8-2-3-3-9-3923,F,9,#6]'</f>
        <v>431</v>
      </c>
      <c r="K1026" s="76">
        <f>[1]!'@CTA[8-2-4-3-9-3923,J,9,#6]'</f>
        <v>431</v>
      </c>
      <c r="L1026" s="76">
        <f>[1]!'@CTA[8-2-5-3-9-3923,J,9,#6]'</f>
        <v>431</v>
      </c>
      <c r="M1026" s="76">
        <f>[1]!'@CTA[8-2-6-3-9-3923,J,9,#6]'</f>
        <v>431</v>
      </c>
      <c r="N1026" s="74">
        <f>[1]!'@CTA[8-2-7-3-9-3923,F,9,#6]'</f>
        <v>431</v>
      </c>
      <c r="O1026" s="66">
        <f t="shared" si="68"/>
        <v>0</v>
      </c>
    </row>
    <row r="1027" spans="1:15" ht="120" x14ac:dyDescent="0.2">
      <c r="A1027" s="67" t="s">
        <v>302</v>
      </c>
      <c r="B1027" s="61" t="s">
        <v>152</v>
      </c>
      <c r="C1027" s="61" t="s">
        <v>149</v>
      </c>
      <c r="D1027" s="62" t="s">
        <v>308</v>
      </c>
      <c r="E1027" s="71" t="s">
        <v>177</v>
      </c>
      <c r="F1027" s="72">
        <v>3924</v>
      </c>
      <c r="G1027" s="73" t="s">
        <v>249</v>
      </c>
      <c r="H1027" s="74">
        <f>[1]!'@CTA[8-2-1-3-9-3924,F,9,#6]'</f>
        <v>384</v>
      </c>
      <c r="I1027" s="74">
        <f>[1]!'@CTA[8-2-3-3-9-3924,F,9,#6]'</f>
        <v>0</v>
      </c>
      <c r="J1027" s="75">
        <f>[1]!'@CTA[8-2-1-3-9-3924,F,9,#6]'+[1]!'@CTA[8-2-3-3-9-3924,F,9,#6]'</f>
        <v>384</v>
      </c>
      <c r="K1027" s="76">
        <f>[1]!'@CTA[8-2-4-3-9-3924,J,9,#6]'</f>
        <v>390.94</v>
      </c>
      <c r="L1027" s="76">
        <f>[1]!'@CTA[8-2-5-3-9-3924,J,9,#6]'</f>
        <v>390.94</v>
      </c>
      <c r="M1027" s="76">
        <f>[1]!'@CTA[8-2-6-3-9-3924,J,9,#6]'</f>
        <v>390.94</v>
      </c>
      <c r="N1027" s="74">
        <f>[1]!'@CTA[8-2-7-3-9-3924,F,9,#6]'</f>
        <v>390.94</v>
      </c>
      <c r="O1027" s="66">
        <f t="shared" si="68"/>
        <v>-6.9399999999999977</v>
      </c>
    </row>
    <row r="1028" spans="1:15" ht="120" x14ac:dyDescent="0.2">
      <c r="A1028" s="67" t="s">
        <v>302</v>
      </c>
      <c r="B1028" s="61" t="s">
        <v>152</v>
      </c>
      <c r="C1028" s="61" t="s">
        <v>149</v>
      </c>
      <c r="D1028" s="62" t="s">
        <v>308</v>
      </c>
      <c r="E1028" s="71" t="s">
        <v>177</v>
      </c>
      <c r="F1028" s="72">
        <v>3925</v>
      </c>
      <c r="G1028" s="73" t="s">
        <v>250</v>
      </c>
      <c r="H1028" s="74">
        <f>[1]!'@CTA[8-2-1-3-9-3925,F,9,#6]'</f>
        <v>489</v>
      </c>
      <c r="I1028" s="74">
        <f>[1]!'@CTA[8-2-3-3-9-3925,F,9,#6]'</f>
        <v>0</v>
      </c>
      <c r="J1028" s="75">
        <f>[1]!'@CTA[8-2-1-3-9-3925,F,9,#6]'+[1]!'@CTA[8-2-3-3-9-3925,F,9,#6]'</f>
        <v>489</v>
      </c>
      <c r="K1028" s="76">
        <f>[1]!'@CTA[8-2-4-3-9-3925,J,9,#6]'</f>
        <v>202.59</v>
      </c>
      <c r="L1028" s="76">
        <f>[1]!'@CTA[8-2-5-3-9-3925,J,9,#6]'</f>
        <v>202.59</v>
      </c>
      <c r="M1028" s="76">
        <f>[1]!'@CTA[8-2-6-3-9-3925,J,9,#6]'</f>
        <v>202.59</v>
      </c>
      <c r="N1028" s="74">
        <f>[1]!'@CTA[8-2-7-3-9-3925,F,9,#6]'</f>
        <v>202.59000000000006</v>
      </c>
      <c r="O1028" s="66">
        <f t="shared" si="68"/>
        <v>286.40999999999997</v>
      </c>
    </row>
    <row r="1029" spans="1:15" ht="120" x14ac:dyDescent="0.2">
      <c r="A1029" s="67" t="s">
        <v>302</v>
      </c>
      <c r="B1029" s="61" t="s">
        <v>152</v>
      </c>
      <c r="C1029" s="61" t="s">
        <v>149</v>
      </c>
      <c r="D1029" s="62" t="s">
        <v>308</v>
      </c>
      <c r="E1029" s="71" t="s">
        <v>177</v>
      </c>
      <c r="F1029" s="72">
        <v>3926</v>
      </c>
      <c r="G1029" s="73" t="s">
        <v>251</v>
      </c>
      <c r="H1029" s="74">
        <f>[1]!'@CTA[8-2-1-3-9-3926,F,9,#6]'</f>
        <v>0</v>
      </c>
      <c r="I1029" s="74">
        <f>[1]!'@CTA[8-2-3-3-9-3926,F,9,#6]'</f>
        <v>0</v>
      </c>
      <c r="J1029" s="75">
        <f>[1]!'@CTA[8-2-1-3-9-3926,F,9,#6]'+[1]!'@CTA[8-2-3-3-9-3926,F,9,#6]'</f>
        <v>0</v>
      </c>
      <c r="K1029" s="76">
        <f>[1]!'@CTA[8-2-4-3-9-3926,J,9,#6]'</f>
        <v>0</v>
      </c>
      <c r="L1029" s="76">
        <f>[1]!'@CTA[8-2-5-3-9-3926,J,9,#6]'</f>
        <v>0</v>
      </c>
      <c r="M1029" s="76">
        <f>[1]!'@CTA[8-2-6-3-9-3926,J,9,#6]'</f>
        <v>0</v>
      </c>
      <c r="N1029" s="74">
        <f>[1]!'@CTA[8-2-7-3-9-3926,F,9,#6]'</f>
        <v>0</v>
      </c>
      <c r="O1029" s="66">
        <f t="shared" si="68"/>
        <v>0</v>
      </c>
    </row>
    <row r="1030" spans="1:15" ht="120" x14ac:dyDescent="0.2">
      <c r="A1030" s="67" t="s">
        <v>302</v>
      </c>
      <c r="B1030" s="61" t="s">
        <v>152</v>
      </c>
      <c r="C1030" s="61" t="s">
        <v>149</v>
      </c>
      <c r="D1030" s="62" t="s">
        <v>308</v>
      </c>
      <c r="E1030" s="71" t="s">
        <v>177</v>
      </c>
      <c r="F1030" s="72">
        <v>3961</v>
      </c>
      <c r="G1030" s="73" t="s">
        <v>252</v>
      </c>
      <c r="H1030" s="74">
        <f>[1]!'@CTA[8-2-1-3-9-3961,F,9,#6]'</f>
        <v>0</v>
      </c>
      <c r="I1030" s="74">
        <f>[1]!'@CTA[8-2-3-3-9-3961,F,9,#6]'</f>
        <v>0</v>
      </c>
      <c r="J1030" s="75">
        <f>[1]!'@CTA[8-2-1-3-9-3961,F,9,#6]'+[1]!'@CTA[8-2-3-3-9-3961,F,9,#6]'</f>
        <v>0</v>
      </c>
      <c r="K1030" s="76">
        <f>[1]!'@CTA[8-2-4-3-9-3961,J,9,#6]'</f>
        <v>0</v>
      </c>
      <c r="L1030" s="76">
        <f>[1]!'@CTA[8-2-5-3-9-3961,J,9,#6]'</f>
        <v>0</v>
      </c>
      <c r="M1030" s="76">
        <f>[1]!'@CTA[8-2-6-3-9-3961,J,9,#6]'</f>
        <v>0</v>
      </c>
      <c r="N1030" s="74">
        <f>[1]!'@CTA[8-2-7-3-9-3961,F,9,#6]'</f>
        <v>0</v>
      </c>
      <c r="O1030" s="66">
        <f t="shared" si="68"/>
        <v>0</v>
      </c>
    </row>
    <row r="1031" spans="1:15" ht="120" x14ac:dyDescent="0.2">
      <c r="A1031" s="67" t="s">
        <v>302</v>
      </c>
      <c r="B1031" s="61" t="s">
        <v>152</v>
      </c>
      <c r="C1031" s="61" t="s">
        <v>149</v>
      </c>
      <c r="D1031" s="62" t="s">
        <v>308</v>
      </c>
      <c r="E1031" s="71" t="s">
        <v>177</v>
      </c>
      <c r="F1031" s="72">
        <v>3962</v>
      </c>
      <c r="G1031" s="73" t="s">
        <v>253</v>
      </c>
      <c r="H1031" s="74">
        <f>[1]!'@CTA[8-2-1-3-9-3962,F,9,#6]'</f>
        <v>0</v>
      </c>
      <c r="I1031" s="74">
        <f>[1]!'@CTA[8-2-3-3-9-3962,F,9,#6]'</f>
        <v>0</v>
      </c>
      <c r="J1031" s="75">
        <f>[1]!'@CTA[8-2-1-3-9-3962,F,9,#6]'+[1]!'@CTA[8-2-3-3-9-3962,F,9,#6]'</f>
        <v>0</v>
      </c>
      <c r="K1031" s="76">
        <f>[1]!'@CTA[8-2-4-3-9-3962,J,9,#6]'</f>
        <v>0</v>
      </c>
      <c r="L1031" s="76">
        <f>[1]!'@CTA[8-2-5-3-9-3962,J,9,#6]'</f>
        <v>0</v>
      </c>
      <c r="M1031" s="76">
        <f>[1]!'@CTA[8-2-6-3-9-3962,J,9,#6]'</f>
        <v>0</v>
      </c>
      <c r="N1031" s="74">
        <f>[1]!'@CTA[8-2-7-3-9-3962,F,9,#6]'</f>
        <v>0</v>
      </c>
      <c r="O1031" s="66">
        <f t="shared" si="68"/>
        <v>0</v>
      </c>
    </row>
    <row r="1032" spans="1:15" ht="120" x14ac:dyDescent="0.2">
      <c r="A1032" s="67" t="s">
        <v>302</v>
      </c>
      <c r="B1032" s="61" t="s">
        <v>152</v>
      </c>
      <c r="C1032" s="61" t="s">
        <v>149</v>
      </c>
      <c r="D1032" s="62" t="s">
        <v>308</v>
      </c>
      <c r="E1032" s="71" t="s">
        <v>254</v>
      </c>
      <c r="F1032" s="72">
        <v>3981</v>
      </c>
      <c r="G1032" s="73" t="s">
        <v>255</v>
      </c>
      <c r="H1032" s="74">
        <f>[1]!'@CTA[8-2-1-3-9-3981,F,9,#6]'</f>
        <v>17887</v>
      </c>
      <c r="I1032" s="74">
        <f>[1]!'@CTA[8-2-3-3-9-3981,F,9,#6]'</f>
        <v>1121.07</v>
      </c>
      <c r="J1032" s="75">
        <f>[1]!'@CTA[8-2-1-3-9-3981,F,9,#6]'+[1]!'@CTA[8-2-3-3-9-3981,F,9,#6]'</f>
        <v>19008.07</v>
      </c>
      <c r="K1032" s="76">
        <f>[1]!'@CTA[8-2-4-3-9-3981,J,9,#6]'</f>
        <v>3212.6499999999996</v>
      </c>
      <c r="L1032" s="76">
        <f>[1]!'@CTA[8-2-5-3-9-3981,J,9,#6]'</f>
        <v>3212.6499999999996</v>
      </c>
      <c r="M1032" s="76">
        <f>[1]!'@CTA[8-2-6-3-9-3981,J,9,#6]'</f>
        <v>3212.6499999999996</v>
      </c>
      <c r="N1032" s="74">
        <f>[1]!'@CTA[8-2-7-3-9-3981,F,9,#6]'</f>
        <v>1982.6100000000017</v>
      </c>
      <c r="O1032" s="66">
        <f t="shared" si="68"/>
        <v>15795.42</v>
      </c>
    </row>
    <row r="1033" spans="1:15" ht="120" x14ac:dyDescent="0.2">
      <c r="A1033" s="67" t="s">
        <v>302</v>
      </c>
      <c r="B1033" s="61"/>
      <c r="C1033" s="61" t="s">
        <v>149</v>
      </c>
      <c r="D1033" s="62" t="s">
        <v>308</v>
      </c>
      <c r="E1033" s="61"/>
      <c r="F1033" s="63">
        <v>5000</v>
      </c>
      <c r="G1033" s="77" t="s">
        <v>256</v>
      </c>
      <c r="H1033" s="69">
        <f t="shared" ref="H1033:N1033" si="70">SUBTOTAL(9,H1034:H1045)</f>
        <v>33506</v>
      </c>
      <c r="I1033" s="69">
        <f t="shared" si="70"/>
        <v>-7.2759576141834259E-12</v>
      </c>
      <c r="J1033" s="69">
        <f t="shared" si="70"/>
        <v>33505.999999999993</v>
      </c>
      <c r="K1033" s="70">
        <f t="shared" si="70"/>
        <v>0</v>
      </c>
      <c r="L1033" s="70">
        <f t="shared" si="70"/>
        <v>0</v>
      </c>
      <c r="M1033" s="70">
        <f t="shared" si="70"/>
        <v>0</v>
      </c>
      <c r="N1033" s="69">
        <f t="shared" si="70"/>
        <v>-5.4569682106375694E-12</v>
      </c>
      <c r="O1033" s="66">
        <f t="shared" si="68"/>
        <v>33505.999999999993</v>
      </c>
    </row>
    <row r="1034" spans="1:15" ht="120" x14ac:dyDescent="0.2">
      <c r="A1034" s="67" t="s">
        <v>302</v>
      </c>
      <c r="B1034" s="61" t="s">
        <v>152</v>
      </c>
      <c r="C1034" s="61" t="s">
        <v>149</v>
      </c>
      <c r="D1034" s="62" t="s">
        <v>308</v>
      </c>
      <c r="E1034" s="71" t="s">
        <v>257</v>
      </c>
      <c r="F1034" s="72">
        <v>5111</v>
      </c>
      <c r="G1034" s="73" t="s">
        <v>258</v>
      </c>
      <c r="H1034" s="74">
        <f>[1]!'@CTA[8-2-1-5-1-5111,F,9,#6]'</f>
        <v>0</v>
      </c>
      <c r="I1034" s="74">
        <v>0</v>
      </c>
      <c r="J1034" s="75">
        <v>0</v>
      </c>
      <c r="K1034" s="76">
        <f>[1]!'@CTA[8-2-4-5-1-5111,J,9,#6]'</f>
        <v>0</v>
      </c>
      <c r="L1034" s="76">
        <f>[1]!'@CTA[8-2-5-5-1-5111,J,9,#6]'</f>
        <v>0</v>
      </c>
      <c r="M1034" s="76">
        <f>[1]!'@CTA[8-2-6-5-1-5111,J,9,#6]'</f>
        <v>0</v>
      </c>
      <c r="N1034" s="74">
        <f>[1]!'@CTA[8-2-7-5-1-5111,F,9,#6]'</f>
        <v>1.8189894035458565E-12</v>
      </c>
      <c r="O1034" s="66">
        <f t="shared" ref="O1034:O1050" si="71">J1034-L1034</f>
        <v>0</v>
      </c>
    </row>
    <row r="1035" spans="1:15" ht="120" x14ac:dyDescent="0.2">
      <c r="A1035" s="67" t="s">
        <v>302</v>
      </c>
      <c r="B1035" s="61" t="s">
        <v>152</v>
      </c>
      <c r="C1035" s="61" t="s">
        <v>149</v>
      </c>
      <c r="D1035" s="62" t="s">
        <v>308</v>
      </c>
      <c r="E1035" s="71" t="s">
        <v>259</v>
      </c>
      <c r="F1035" s="72">
        <v>5151</v>
      </c>
      <c r="G1035" s="73" t="s">
        <v>260</v>
      </c>
      <c r="H1035" s="74">
        <f>[1]!'@CTA[8-2-1-5-1-5151,F,9,#6]'</f>
        <v>0</v>
      </c>
      <c r="I1035" s="74">
        <f>[1]!'@CTA[8-2-3-5-1-5151,F,9,#6]'</f>
        <v>-7.2759576141834259E-12</v>
      </c>
      <c r="J1035" s="75">
        <f>[1]!'@CTA[8-2-1-5-1-5151,F,9,#6]'+[1]!'@CTA[8-2-3-5-1-5151,F,9,#6]'</f>
        <v>-7.2759576141834259E-12</v>
      </c>
      <c r="K1035" s="76">
        <f>[1]!'@CTA[8-2-4-5-1-5151,J,9,#6]'</f>
        <v>0</v>
      </c>
      <c r="L1035" s="76">
        <f>[1]!'@CTA[8-2-5-5-1-5151,J,9,#6]'</f>
        <v>0</v>
      </c>
      <c r="M1035" s="76">
        <f>[1]!'@CTA[8-2-6-5-1-5151,J,9,#6]'</f>
        <v>0</v>
      </c>
      <c r="N1035" s="74">
        <f>[1]!'@CTA[8-2-7-5-1-5151,F,9,#6]'</f>
        <v>-7.2759576141834259E-12</v>
      </c>
      <c r="O1035" s="66">
        <f t="shared" si="71"/>
        <v>-7.2759576141834259E-12</v>
      </c>
    </row>
    <row r="1036" spans="1:15" ht="120" x14ac:dyDescent="0.2">
      <c r="A1036" s="67" t="s">
        <v>302</v>
      </c>
      <c r="B1036" s="61" t="s">
        <v>152</v>
      </c>
      <c r="C1036" s="61" t="s">
        <v>149</v>
      </c>
      <c r="D1036" s="62" t="s">
        <v>308</v>
      </c>
      <c r="E1036" s="71" t="s">
        <v>259</v>
      </c>
      <c r="F1036" s="72">
        <v>5152</v>
      </c>
      <c r="G1036" s="73" t="s">
        <v>261</v>
      </c>
      <c r="H1036" s="74">
        <f>[1]!'@CTA[8-2-1-5-1-5152,F,9,#6]'</f>
        <v>0</v>
      </c>
      <c r="I1036" s="74">
        <f>[1]!'@CTA[8-2-3-5-1-5152,F,9,#6]'</f>
        <v>0</v>
      </c>
      <c r="J1036" s="75">
        <f>[1]!'@CTA[8-2-1-5-1-5152,F,9,#6]'+[1]!'@CTA[8-2-3-5-1-5152,F,9,#6]'</f>
        <v>0</v>
      </c>
      <c r="K1036" s="76">
        <f>[1]!'@CTA[8-2-4-5-1-5152,J,9,#6]'</f>
        <v>0</v>
      </c>
      <c r="L1036" s="76">
        <f>[1]!'@CTA[8-2-5-5-1-5152,J,9,#6]'</f>
        <v>0</v>
      </c>
      <c r="M1036" s="76">
        <f>[1]!'@CTA[8-2-6-5-1-5152,J,9,#6]'</f>
        <v>0</v>
      </c>
      <c r="N1036" s="74">
        <f>[1]!'@CTA[8-2-7-5-1-5152,F,9,#6]'</f>
        <v>0</v>
      </c>
      <c r="O1036" s="66">
        <f t="shared" si="71"/>
        <v>0</v>
      </c>
    </row>
    <row r="1037" spans="1:15" ht="120" x14ac:dyDescent="0.2">
      <c r="A1037" s="67" t="s">
        <v>302</v>
      </c>
      <c r="B1037" s="61" t="s">
        <v>152</v>
      </c>
      <c r="C1037" s="61" t="s">
        <v>149</v>
      </c>
      <c r="D1037" s="62" t="s">
        <v>308</v>
      </c>
      <c r="E1037" s="71" t="s">
        <v>259</v>
      </c>
      <c r="F1037" s="72">
        <v>5153</v>
      </c>
      <c r="G1037" s="73" t="s">
        <v>262</v>
      </c>
      <c r="H1037" s="74">
        <f>[1]!'@CTA[8-2-1-5-1-5153,F,9,#6]'</f>
        <v>0</v>
      </c>
      <c r="I1037" s="74">
        <f>[1]!'@CTA[8-2-3-5-1-5153,F,9,#6]'</f>
        <v>0</v>
      </c>
      <c r="J1037" s="75">
        <f>[1]!'@CTA[8-2-1-5-1-5153,F,9,#6]'+[1]!'@CTA[8-2-3-5-1-5153,F,9,#6]'</f>
        <v>0</v>
      </c>
      <c r="K1037" s="76">
        <f>[1]!'@CTA[8-2-4-5-1-5153,J,9,#6]'</f>
        <v>0</v>
      </c>
      <c r="L1037" s="76">
        <f>[1]!'@CTA[8-2-5-5-1-5153,J,9,#6]'</f>
        <v>0</v>
      </c>
      <c r="M1037" s="76">
        <f>[1]!'@CTA[8-2-6-5-1-5153,J,9,#6]'</f>
        <v>0</v>
      </c>
      <c r="N1037" s="74">
        <f>[1]!'@CTA[8-2-7-5-1-5153,F,9,#6]'</f>
        <v>0</v>
      </c>
      <c r="O1037" s="66">
        <f t="shared" si="71"/>
        <v>0</v>
      </c>
    </row>
    <row r="1038" spans="1:15" ht="120" x14ac:dyDescent="0.2">
      <c r="A1038" s="67" t="s">
        <v>302</v>
      </c>
      <c r="B1038" s="61" t="s">
        <v>152</v>
      </c>
      <c r="C1038" s="61" t="s">
        <v>149</v>
      </c>
      <c r="D1038" s="62" t="s">
        <v>308</v>
      </c>
      <c r="E1038" s="71" t="s">
        <v>257</v>
      </c>
      <c r="F1038" s="72">
        <v>5231</v>
      </c>
      <c r="G1038" s="73" t="s">
        <v>263</v>
      </c>
      <c r="H1038" s="74">
        <f>[1]!'@CTA[8-2-1-5-2-5231,F,9,#6]'</f>
        <v>0</v>
      </c>
      <c r="I1038" s="74">
        <f>[1]!'@CTA[8-2-3-5-2-5231,F,9,#6]'</f>
        <v>0</v>
      </c>
      <c r="J1038" s="75">
        <f>[1]!'@CTA[8-2-1-5-2-5231,F,9,#6]'+[1]!'@CTA[8-2-3-5-2-5231,F,9,#6]'</f>
        <v>0</v>
      </c>
      <c r="K1038" s="76">
        <f>[1]!'@CTA[8-2-4-5-2-5231,J,9,#6]'</f>
        <v>0</v>
      </c>
      <c r="L1038" s="76">
        <f>[1]!'@CTA[8-2-5-5-2-5231,J,9,#6]'</f>
        <v>0</v>
      </c>
      <c r="M1038" s="76">
        <f>[1]!'@CTA[8-2-6-5-2-5231,J,9,#6]'</f>
        <v>0</v>
      </c>
      <c r="N1038" s="74">
        <f>[1]!'@CTA[8-2-7-5-2-5231,F,9,#6]'</f>
        <v>0</v>
      </c>
      <c r="O1038" s="66">
        <f t="shared" si="71"/>
        <v>0</v>
      </c>
    </row>
    <row r="1039" spans="1:15" ht="120" x14ac:dyDescent="0.2">
      <c r="A1039" s="67" t="s">
        <v>302</v>
      </c>
      <c r="B1039" s="61" t="s">
        <v>152</v>
      </c>
      <c r="C1039" s="61" t="s">
        <v>149</v>
      </c>
      <c r="D1039" s="62" t="s">
        <v>308</v>
      </c>
      <c r="E1039" s="71" t="s">
        <v>264</v>
      </c>
      <c r="F1039" s="72">
        <v>5411</v>
      </c>
      <c r="G1039" s="73" t="s">
        <v>265</v>
      </c>
      <c r="H1039" s="74">
        <f>[1]!'@CTA[8-2-1-5-4-5411,F,9,#6]'</f>
        <v>0</v>
      </c>
      <c r="I1039" s="74">
        <f>[1]!'@CTA[8-2-3-5-4-5411,F,9,#6]'</f>
        <v>0</v>
      </c>
      <c r="J1039" s="75">
        <f>[1]!'@CTA[8-2-1-5-4-5411,F,9,#6]'+[1]!'@CTA[8-2-3-5-4-5411,F,9,#6]'</f>
        <v>0</v>
      </c>
      <c r="K1039" s="76">
        <f>[1]!'@CTA[8-2-4-5-4-5411,J,9,#6]'</f>
        <v>0</v>
      </c>
      <c r="L1039" s="76">
        <f>[1]!'@CTA[8-2-5-5-4-5411,J,9,#6]'</f>
        <v>0</v>
      </c>
      <c r="M1039" s="76">
        <f>[1]!'@CTA[8-2-6-5-4-5411,J,9,#6]'</f>
        <v>0</v>
      </c>
      <c r="N1039" s="74">
        <f>[1]!'@CTA[8-2-7-5-4-5411,F,9,#6]'</f>
        <v>0</v>
      </c>
      <c r="O1039" s="66">
        <f t="shared" si="71"/>
        <v>0</v>
      </c>
    </row>
    <row r="1040" spans="1:15" ht="120" x14ac:dyDescent="0.2">
      <c r="A1040" s="67" t="s">
        <v>302</v>
      </c>
      <c r="B1040" s="61" t="s">
        <v>152</v>
      </c>
      <c r="C1040" s="61" t="s">
        <v>149</v>
      </c>
      <c r="D1040" s="62" t="s">
        <v>308</v>
      </c>
      <c r="E1040" s="71" t="s">
        <v>264</v>
      </c>
      <c r="F1040" s="72">
        <v>5491</v>
      </c>
      <c r="G1040" s="73" t="s">
        <v>266</v>
      </c>
      <c r="H1040" s="74">
        <f>[1]!'@CTA[8-2-1-5-4-5491,F,9,#6]'</f>
        <v>0</v>
      </c>
      <c r="I1040" s="74">
        <f>[1]!'@CTA[8-2-3-5-4-5491,F,9,#6]'</f>
        <v>0</v>
      </c>
      <c r="J1040" s="75">
        <f>[1]!'@CTA[8-2-1-5-4-5491,F,9,#6]'+[1]!'@CTA[8-2-3-5-4-5491,F,9,#6]'</f>
        <v>0</v>
      </c>
      <c r="K1040" s="76">
        <f>[1]!'@CTA[8-2-4-5-4-5491,J,9,#6]'</f>
        <v>0</v>
      </c>
      <c r="L1040" s="76">
        <f>[1]!'@CTA[8-2-5-5-4-5491,J,9,#6]'</f>
        <v>0</v>
      </c>
      <c r="M1040" s="76">
        <f>[1]!'@CTA[8-2-6-5-4-5491,J,9,#6]'</f>
        <v>0</v>
      </c>
      <c r="N1040" s="74">
        <f>[1]!'@CTA[8-2-7-5-4-5491,F,9,#6]'</f>
        <v>0</v>
      </c>
      <c r="O1040" s="66">
        <f t="shared" si="71"/>
        <v>0</v>
      </c>
    </row>
    <row r="1041" spans="1:15" ht="120" x14ac:dyDescent="0.2">
      <c r="A1041" s="67" t="s">
        <v>302</v>
      </c>
      <c r="B1041" s="61" t="s">
        <v>152</v>
      </c>
      <c r="C1041" s="61" t="s">
        <v>149</v>
      </c>
      <c r="D1041" s="62" t="s">
        <v>308</v>
      </c>
      <c r="E1041" s="71" t="s">
        <v>257</v>
      </c>
      <c r="F1041" s="72">
        <v>5631</v>
      </c>
      <c r="G1041" s="73" t="s">
        <v>267</v>
      </c>
      <c r="H1041" s="74">
        <f>[1]!'@CTA[8-2-1-5-6-5631,F,9,#6]'</f>
        <v>0</v>
      </c>
      <c r="I1041" s="74">
        <f>[1]!'@CTA[8-2-3-5-6-5631,F,9,#6]'</f>
        <v>0</v>
      </c>
      <c r="J1041" s="75">
        <f>[1]!'@CTA[8-2-1-5-6-5631,F,9,#6]'+[1]!'@CTA[8-2-3-5-6-5631,F,9,#6]'</f>
        <v>0</v>
      </c>
      <c r="K1041" s="76">
        <f>[1]!'@CTA[8-2-4-5-6-5631,J,9,#6]'</f>
        <v>0</v>
      </c>
      <c r="L1041" s="76">
        <f>[1]!'@CTA[8-2-5-5-6-5631,J,9,#6]'</f>
        <v>0</v>
      </c>
      <c r="M1041" s="76">
        <f>[1]!'@CTA[8-2-6-5-6-5631,J,9,#6]'</f>
        <v>0</v>
      </c>
      <c r="N1041" s="74">
        <f>[1]!'@CTA[8-2-7-5-6-5631,F,9,#6]'</f>
        <v>0</v>
      </c>
      <c r="O1041" s="66">
        <f t="shared" si="71"/>
        <v>0</v>
      </c>
    </row>
    <row r="1042" spans="1:15" ht="120" x14ac:dyDescent="0.2">
      <c r="A1042" s="67" t="s">
        <v>302</v>
      </c>
      <c r="B1042" s="61" t="s">
        <v>152</v>
      </c>
      <c r="C1042" s="61" t="s">
        <v>149</v>
      </c>
      <c r="D1042" s="62" t="s">
        <v>308</v>
      </c>
      <c r="E1042" s="71" t="s">
        <v>257</v>
      </c>
      <c r="F1042" s="72">
        <v>5632</v>
      </c>
      <c r="G1042" s="73" t="s">
        <v>304</v>
      </c>
      <c r="H1042" s="74">
        <f>[1]!'@CTA[8-2-1-5-6-5632,F,9,#6]'</f>
        <v>13000</v>
      </c>
      <c r="I1042" s="74">
        <f>[1]!'@CTA[8-2-3-5-6-5632,F,9,#6]'</f>
        <v>0</v>
      </c>
      <c r="J1042" s="75">
        <f>[1]!'@CTA[8-2-1-5-6-5632,F,9,#6]'+[1]!'@CTA[8-2-3-5-6-5632,F,9,#6]'</f>
        <v>13000</v>
      </c>
      <c r="K1042" s="76">
        <f>[1]!'@CTA[8-2-4-5-6-5632,J,9,#6]'</f>
        <v>0</v>
      </c>
      <c r="L1042" s="76">
        <f>[1]!'@CTA[8-2-5-5-6-5632,J,9,#6]'</f>
        <v>0</v>
      </c>
      <c r="M1042" s="76">
        <f>[1]!'@CTA[8-2-6-5-6-5632,J,9,#6]'</f>
        <v>0</v>
      </c>
      <c r="N1042" s="74">
        <f>[1]!'@CTA[8-2-7-5-6-5632,F,9,#6]'</f>
        <v>0</v>
      </c>
      <c r="O1042" s="66">
        <f>J1042-L1042</f>
        <v>13000</v>
      </c>
    </row>
    <row r="1043" spans="1:15" ht="120" x14ac:dyDescent="0.2">
      <c r="A1043" s="67" t="s">
        <v>302</v>
      </c>
      <c r="B1043" s="61" t="s">
        <v>152</v>
      </c>
      <c r="C1043" s="61" t="s">
        <v>149</v>
      </c>
      <c r="D1043" s="62" t="s">
        <v>308</v>
      </c>
      <c r="E1043" s="71" t="s">
        <v>257</v>
      </c>
      <c r="F1043" s="72">
        <v>5651</v>
      </c>
      <c r="G1043" s="73" t="s">
        <v>268</v>
      </c>
      <c r="H1043" s="74">
        <f>[1]!'@CTA[8-2-1-5-6-5651,F,9,#6]'</f>
        <v>4567</v>
      </c>
      <c r="I1043" s="74">
        <f>[1]!'@CTA[8-2-3-5-6-5651,F,9,#6]'</f>
        <v>0</v>
      </c>
      <c r="J1043" s="75">
        <f>[1]!'@CTA[8-2-1-5-6-5651,F,9,#6]'+[1]!'@CTA[8-2-3-5-6-5651,F,9,#6]'</f>
        <v>4567</v>
      </c>
      <c r="K1043" s="76">
        <f>[1]!'@CTA[8-2-4-5-6-5651,J,9,#6]'</f>
        <v>0</v>
      </c>
      <c r="L1043" s="76">
        <f>[1]!'@CTA[8-2-5-5-6-5651,J,9,#6]'</f>
        <v>0</v>
      </c>
      <c r="M1043" s="76">
        <f>[1]!'@CTA[8-2-6-5-6-5651,J,9,#6]'</f>
        <v>0</v>
      </c>
      <c r="N1043" s="74">
        <f>[1]!'@CTA[8-2-7-5-6-5651,F,9,#6]'</f>
        <v>0</v>
      </c>
      <c r="O1043" s="66">
        <f t="shared" si="71"/>
        <v>4567</v>
      </c>
    </row>
    <row r="1044" spans="1:15" ht="120" x14ac:dyDescent="0.2">
      <c r="A1044" s="67" t="s">
        <v>302</v>
      </c>
      <c r="B1044" s="61" t="s">
        <v>152</v>
      </c>
      <c r="C1044" s="61" t="s">
        <v>149</v>
      </c>
      <c r="D1044" s="62" t="s">
        <v>308</v>
      </c>
      <c r="E1044" s="71" t="s">
        <v>257</v>
      </c>
      <c r="F1044" s="72">
        <v>5671</v>
      </c>
      <c r="G1044" s="73" t="s">
        <v>269</v>
      </c>
      <c r="H1044" s="74">
        <f>[1]!'@CTA[8-2-1-5-6-5671,F,9,#6]'</f>
        <v>0</v>
      </c>
      <c r="I1044" s="74">
        <f>[1]!'@CTA[8-2-3-5-6-5671,F,9,#6]'</f>
        <v>0</v>
      </c>
      <c r="J1044" s="75">
        <f>[1]!'@CTA[8-2-1-5-6-5671,F,9,#6]'+[1]!'@CTA[8-2-3-5-6-5671,F,9,#6]'</f>
        <v>0</v>
      </c>
      <c r="K1044" s="76">
        <f>[1]!'@CTA[8-2-4-5-6-5671,J,9,#6]'</f>
        <v>0</v>
      </c>
      <c r="L1044" s="76">
        <f>[1]!'@CTA[8-2-5-5-6-5671,J,9,#6]'</f>
        <v>0</v>
      </c>
      <c r="M1044" s="76">
        <f>[1]!'@CTA[8-2-6-5-6-5671,J,9,#6]'</f>
        <v>0</v>
      </c>
      <c r="N1044" s="74">
        <f>[1]!'@CTA[8-2-7-5-6-5671,F,9,#6]'</f>
        <v>0</v>
      </c>
      <c r="O1044" s="66">
        <f t="shared" si="71"/>
        <v>0</v>
      </c>
    </row>
    <row r="1045" spans="1:15" ht="120" x14ac:dyDescent="0.2">
      <c r="A1045" s="67" t="s">
        <v>302</v>
      </c>
      <c r="B1045" s="61" t="s">
        <v>152</v>
      </c>
      <c r="C1045" s="61" t="s">
        <v>149</v>
      </c>
      <c r="D1045" s="62" t="s">
        <v>308</v>
      </c>
      <c r="E1045" s="71" t="s">
        <v>270</v>
      </c>
      <c r="F1045" s="72">
        <v>5911</v>
      </c>
      <c r="G1045" s="73" t="s">
        <v>271</v>
      </c>
      <c r="H1045" s="74">
        <f>[1]!'@CTA[8-2-1-5-9-5911,F,9,#6]'</f>
        <v>15939</v>
      </c>
      <c r="I1045" s="74">
        <f>[1]!'@CTA[8-2-3-5-9-5911,F,9,#6]'</f>
        <v>0</v>
      </c>
      <c r="J1045" s="75">
        <f>[1]!'@CTA[8-2-1-5-9-5911,F,9,#6]'+[1]!'@CTA[8-2-3-5-9-5911,F,9,#6]'</f>
        <v>15939</v>
      </c>
      <c r="K1045" s="76">
        <f>[1]!'@CTA[8-2-4-5-9-5911,J,9,#6]'</f>
        <v>0</v>
      </c>
      <c r="L1045" s="76">
        <f>[1]!'@CTA[8-2-5-5-9-5911,J,9,#6]'</f>
        <v>0</v>
      </c>
      <c r="M1045" s="76">
        <f>[1]!'@CTA[8-2-6-5-9-5911,J,9,#6]'</f>
        <v>0</v>
      </c>
      <c r="N1045" s="74">
        <f>[1]!'@CTA[8-2-7-5-9-5911,F,9,#6]'</f>
        <v>0</v>
      </c>
      <c r="O1045" s="66">
        <f t="shared" si="71"/>
        <v>15939</v>
      </c>
    </row>
    <row r="1046" spans="1:15" ht="120" x14ac:dyDescent="0.2">
      <c r="A1046" s="67" t="s">
        <v>302</v>
      </c>
      <c r="B1046" s="61"/>
      <c r="C1046" s="61" t="s">
        <v>149</v>
      </c>
      <c r="D1046" s="62" t="s">
        <v>308</v>
      </c>
      <c r="E1046" s="61"/>
      <c r="F1046" s="63">
        <v>6000</v>
      </c>
      <c r="G1046" s="68" t="s">
        <v>274</v>
      </c>
      <c r="H1046" s="69">
        <f>SUBTOTAL(9,H1047:H1051)</f>
        <v>12210011</v>
      </c>
      <c r="I1046" s="69">
        <f t="shared" ref="I1046:O1046" si="72">SUBTOTAL(9,I1047:I1051)</f>
        <v>7103590.0100000016</v>
      </c>
      <c r="J1046" s="69">
        <f t="shared" si="72"/>
        <v>19313601.010000002</v>
      </c>
      <c r="K1046" s="69">
        <f t="shared" si="72"/>
        <v>2474305.5999999996</v>
      </c>
      <c r="L1046" s="69">
        <f t="shared" si="72"/>
        <v>2474305.5999999996</v>
      </c>
      <c r="M1046" s="69">
        <f t="shared" si="72"/>
        <v>2474305.5999999996</v>
      </c>
      <c r="N1046" s="69">
        <f t="shared" si="72"/>
        <v>2474305.5999999996</v>
      </c>
      <c r="O1046" s="69">
        <f t="shared" si="72"/>
        <v>16839295.410000004</v>
      </c>
    </row>
    <row r="1047" spans="1:15" ht="120" x14ac:dyDescent="0.2">
      <c r="A1047" s="67" t="s">
        <v>302</v>
      </c>
      <c r="B1047" s="61" t="s">
        <v>275</v>
      </c>
      <c r="C1047" s="61" t="s">
        <v>149</v>
      </c>
      <c r="D1047" s="62" t="s">
        <v>308</v>
      </c>
      <c r="E1047" s="71" t="s">
        <v>276</v>
      </c>
      <c r="F1047" s="72">
        <v>6131</v>
      </c>
      <c r="G1047" s="78" t="s">
        <v>277</v>
      </c>
      <c r="H1047" s="74">
        <f>[1]!'@CTA[8-2-1-6-1-6131,F,9,#6]'</f>
        <v>1795484</v>
      </c>
      <c r="I1047" s="74">
        <f>[1]!'@CTA[8-2-3-6-1-6131,F,9,#6]'</f>
        <v>5446893.6900000013</v>
      </c>
      <c r="J1047" s="75">
        <f>[1]!'@CTA[8-2-1-6-1-6131,F,9,#6]'+[1]!'@CTA[8-2-3-6-1-6131,F,9,#6]'-1498396</f>
        <v>5743981.6900000013</v>
      </c>
      <c r="K1047" s="76">
        <f>[1]!'@CTA[8-2-4-6-1-6131,J,9,#6]'</f>
        <v>0</v>
      </c>
      <c r="L1047" s="76">
        <f>[1]!'@CTA[8-2-5-6-1-6131,J,9,#6]'</f>
        <v>0</v>
      </c>
      <c r="M1047" s="76">
        <f>[1]!'@CTA[8-2-6-6-1-6131,J,9,#6]'</f>
        <v>0</v>
      </c>
      <c r="N1047" s="74">
        <f>[1]!'@CTA[8-2-7-6-1-6131,F,9,#6]'</f>
        <v>-1.1641532182693481E-10</v>
      </c>
      <c r="O1047" s="66">
        <f t="shared" si="71"/>
        <v>5743981.6900000013</v>
      </c>
    </row>
    <row r="1048" spans="1:15" ht="120" x14ac:dyDescent="0.2">
      <c r="A1048" s="67" t="s">
        <v>302</v>
      </c>
      <c r="B1048" s="61" t="s">
        <v>275</v>
      </c>
      <c r="C1048" s="61" t="s">
        <v>149</v>
      </c>
      <c r="D1048" s="62" t="s">
        <v>308</v>
      </c>
      <c r="E1048" s="71" t="s">
        <v>276</v>
      </c>
      <c r="F1048" s="72">
        <v>6161</v>
      </c>
      <c r="G1048" s="78" t="s">
        <v>278</v>
      </c>
      <c r="H1048" s="74">
        <f>[1]!'@CTA[8-2-1-6-1-6161,F,9,#6]'</f>
        <v>6248527</v>
      </c>
      <c r="I1048" s="74">
        <f>[1]!'@CTA[8-2-3-6-1-6161,F,9,#6]'</f>
        <v>1977410</v>
      </c>
      <c r="J1048" s="75">
        <f>[1]!'@CTA[8-2-1-6-1-6161,F,9,#6]'+[1]!'@CTA[8-2-3-6-1-6161,F,9,#6]'+1498396</f>
        <v>9724333</v>
      </c>
      <c r="K1048" s="76">
        <f>[1]!'@CTA[8-2-4-6-1-6161,J,9,#6]'</f>
        <v>0</v>
      </c>
      <c r="L1048" s="76">
        <f>[1]!'@CTA[8-2-5-6-1-6161,J,9,#6]'</f>
        <v>0</v>
      </c>
      <c r="M1048" s="76">
        <f>[1]!'@CTA[8-2-6-6-1-6161,J,9,#6]'</f>
        <v>0</v>
      </c>
      <c r="N1048" s="74">
        <f>[1]!'@CTA[8-2-7-6-1-6161,F,9,#6]'</f>
        <v>0</v>
      </c>
      <c r="O1048" s="66">
        <f t="shared" si="71"/>
        <v>9724333</v>
      </c>
    </row>
    <row r="1049" spans="1:15" ht="120" x14ac:dyDescent="0.2">
      <c r="A1049" s="67" t="s">
        <v>302</v>
      </c>
      <c r="B1049" s="61" t="s">
        <v>275</v>
      </c>
      <c r="C1049" s="61" t="s">
        <v>149</v>
      </c>
      <c r="D1049" s="62" t="s">
        <v>308</v>
      </c>
      <c r="E1049" s="71" t="s">
        <v>276</v>
      </c>
      <c r="F1049" s="72">
        <v>6162</v>
      </c>
      <c r="G1049" s="78" t="s">
        <v>279</v>
      </c>
      <c r="H1049" s="76">
        <f>[1]!'@CTA[8-2-1-6-1-6162,F,9,#6]'</f>
        <v>2016000</v>
      </c>
      <c r="I1049" s="74">
        <f>[1]!'@CTA[8-2-3-6-1-6162,F,9,#6]'</f>
        <v>1709286.3200000003</v>
      </c>
      <c r="J1049" s="75">
        <f>[1]!'@CTA[8-2-1-6-1-6162,F,9,#6]'+[1]!'@CTA[8-2-3-6-1-6162,F,9,#6]'</f>
        <v>3725286.3200000003</v>
      </c>
      <c r="K1049" s="76">
        <f>[1]!'@CTA[8-2-4-6-1-6162,J,9,#6]'</f>
        <v>1776253.7399999998</v>
      </c>
      <c r="L1049" s="76">
        <f>[1]!'@CTA[8-2-5-6-1-6162,J,9,#6]'</f>
        <v>1776253.7399999998</v>
      </c>
      <c r="M1049" s="76">
        <f>[1]!'@CTA[8-2-6-6-1-6162,J,9,#6]'</f>
        <v>1776253.7399999998</v>
      </c>
      <c r="N1049" s="74">
        <f>[1]!'@CTA[8-2-7-6-1-6162,F,9,#6]'</f>
        <v>1776253.74</v>
      </c>
      <c r="O1049" s="66">
        <f t="shared" si="71"/>
        <v>1949032.5800000005</v>
      </c>
    </row>
    <row r="1050" spans="1:15" ht="120" x14ac:dyDescent="0.2">
      <c r="A1050" s="67" t="s">
        <v>302</v>
      </c>
      <c r="B1050" s="61" t="s">
        <v>275</v>
      </c>
      <c r="C1050" s="61" t="s">
        <v>149</v>
      </c>
      <c r="D1050" s="62" t="s">
        <v>308</v>
      </c>
      <c r="E1050" s="71" t="s">
        <v>276</v>
      </c>
      <c r="F1050" s="72">
        <v>6171</v>
      </c>
      <c r="G1050" s="78" t="s">
        <v>280</v>
      </c>
      <c r="H1050" s="74">
        <f>[1]!'@CTA[8-2-1-6-1-6171,F,9,#6]'</f>
        <v>1730000</v>
      </c>
      <c r="I1050" s="74">
        <f>[1]!'@CTA[8-2-3-6-1-6171,F,9,#6]'</f>
        <v>-1730000</v>
      </c>
      <c r="J1050" s="75">
        <f>[1]!'@CTA[8-2-1-6-1-6171,F,9,#6]'+[1]!'@CTA[8-2-3-6-1-6171,F,9,#6]'</f>
        <v>0</v>
      </c>
      <c r="K1050" s="76">
        <f>[1]!'@CTA[8-2-4-6-1-6171,J,9,#6]'</f>
        <v>698051.86</v>
      </c>
      <c r="L1050" s="76">
        <f>[1]!'@CTA[8-2-5-6-1-6171,J,9,#6]'</f>
        <v>698051.86</v>
      </c>
      <c r="M1050" s="76">
        <f>[1]!'@CTA[8-2-6-6-1-6171,J,9,#6]'</f>
        <v>698051.86</v>
      </c>
      <c r="N1050" s="74">
        <f>[1]!'@CTA[8-2-7-6-1-6171,F,9,#6]'</f>
        <v>698051.86</v>
      </c>
      <c r="O1050" s="66">
        <f t="shared" si="71"/>
        <v>-698051.86</v>
      </c>
    </row>
    <row r="1051" spans="1:15" ht="120" x14ac:dyDescent="0.2">
      <c r="A1051" s="67" t="s">
        <v>302</v>
      </c>
      <c r="B1051" s="61" t="s">
        <v>275</v>
      </c>
      <c r="C1051" s="61" t="s">
        <v>149</v>
      </c>
      <c r="D1051" s="62" t="s">
        <v>308</v>
      </c>
      <c r="E1051" s="71" t="s">
        <v>276</v>
      </c>
      <c r="F1051" s="72">
        <v>6221</v>
      </c>
      <c r="G1051" s="78" t="s">
        <v>306</v>
      </c>
      <c r="H1051" s="74">
        <v>420000</v>
      </c>
      <c r="I1051" s="74">
        <v>-300000</v>
      </c>
      <c r="J1051" s="75">
        <v>120000</v>
      </c>
      <c r="K1051" s="76">
        <v>0</v>
      </c>
      <c r="L1051" s="76">
        <v>0</v>
      </c>
      <c r="M1051" s="76">
        <v>0</v>
      </c>
      <c r="N1051" s="74">
        <v>0</v>
      </c>
      <c r="O1051" s="66">
        <f t="shared" ref="O1051" si="73">J1051-L1051</f>
        <v>120000</v>
      </c>
    </row>
  </sheetData>
  <sheetProtection algorithmName="SHA-512" hashValue="9CCX4w4j1zNciuWLG02lMBjfRWg8860PfGRjprfSz+Wr2SU+osxdYORmxogPtsAcscC3AH6P9V2A9fYG9vlFig==" saltValue="v/9vTZupsfsriL40ozQ9aQ==" spinCount="100000" sheet="1" objects="1" scenarios="1" insertRows="0" deleteRows="0" autoFilter="0"/>
  <protectedRanges>
    <protectedRange sqref="H3:O3" name="Rango1_2"/>
  </protectedRanges>
  <mergeCells count="1">
    <mergeCell ref="A1:O1"/>
  </mergeCells>
  <conditionalFormatting sqref="H929:O929 H817:O817 H700:O700 H121:H236 H4:O4 H5:H119 H120:O120 H935:O935 H237:O237 H238:H351 H352:O352 H353:H466 H467:O467 H468:H570 H585:O585 H586:H699 H930:H934 H701:H816 H936:H1050 H818:H928 H572:H574 H576:H584">
    <cfRule type="expression" priority="13" stopIfTrue="1">
      <formula>NOT(ISERROR(SEARCH("COIWIN",H4)))</formula>
    </cfRule>
    <cfRule type="expression" dxfId="6" priority="14" stopIfTrue="1">
      <formula>NOT(ISERROR(SEARCH("COI",H4)))</formula>
    </cfRule>
  </conditionalFormatting>
  <conditionalFormatting sqref="H3:N3">
    <cfRule type="expression" priority="11" stopIfTrue="1">
      <formula>NOT(ISERROR(SEARCH("COIWIN",H3)))</formula>
    </cfRule>
    <cfRule type="expression" dxfId="5" priority="12" stopIfTrue="1">
      <formula>NOT(ISERROR(SEARCH("COI",H3)))</formula>
    </cfRule>
  </conditionalFormatting>
  <conditionalFormatting sqref="H1051">
    <cfRule type="expression" priority="7" stopIfTrue="1">
      <formula>NOT(ISERROR(SEARCH("COIWIN",H1051)))</formula>
    </cfRule>
    <cfRule type="expression" dxfId="4" priority="8" stopIfTrue="1">
      <formula>NOT(ISERROR(SEARCH("COI",H1051)))</formula>
    </cfRule>
  </conditionalFormatting>
  <conditionalFormatting sqref="H571">
    <cfRule type="expression" priority="5" stopIfTrue="1">
      <formula>NOT(ISERROR(SEARCH("COIWIN",H571)))</formula>
    </cfRule>
    <cfRule type="expression" dxfId="3" priority="6" stopIfTrue="1">
      <formula>NOT(ISERROR(SEARCH("COI",H571)))</formula>
    </cfRule>
  </conditionalFormatting>
  <conditionalFormatting sqref="I1046:O1046">
    <cfRule type="expression" priority="3" stopIfTrue="1">
      <formula>NOT(ISERROR(SEARCH("COIWIN",I1046)))</formula>
    </cfRule>
    <cfRule type="expression" dxfId="2" priority="4" stopIfTrue="1">
      <formula>NOT(ISERROR(SEARCH("COI",I1046)))</formula>
    </cfRule>
  </conditionalFormatting>
  <conditionalFormatting sqref="H575">
    <cfRule type="expression" priority="1" stopIfTrue="1">
      <formula>NOT(ISERROR(SEARCH("COIWIN",H575)))</formula>
    </cfRule>
    <cfRule type="expression" dxfId="1" priority="2" stopIfTrue="1">
      <formula>NOT(ISERROR(SEARCH("COI",H575)))</formula>
    </cfRule>
  </conditionalFormatting>
  <dataValidations disablePrompts="1" count="15">
    <dataValidation allowBlank="1" showInputMessage="1" showErrorMessage="1" prompt="De acuerdo al Clasificador Funcional del Gasto (finalidad, función y subfunción); publicado en el DOF del 27 de diciembre de 2010. A tres dígitos" sqref="A2"/>
    <dataValidation allowBlank="1" showInputMessage="1" showErrorMessage="1" prompt="Refleja las modificaciones realizadas al Presupuesto Aprobado" sqref="I2"/>
    <dataValidation allowBlank="1" showInputMessage="1" showErrorMessage="1" prompt="De acuerdo a la Clasificación Administrativa, publicada en el DOF del 7 de julio de 2011. A cuatro dígitos. Además incluir la UR, separado por guion (CA - UR)." sqref="D2"/>
    <dataValidation allowBlank="1" showInputMessage="1" showErrorMessage="1" prompt="Clasificador por Fuentes de Financiamiento de acuerdo al emitido por el CONAC (DOF 2-ene-13). A un dígito." sqref="C2"/>
    <dataValidation allowBlank="1" showInputMessage="1" showErrorMessage="1" prompt="De acuerdo al Clasificador por objeto del gasto (capítulo, concepto; partida genérica y especifica), publicadas en el DOF el 22 de diciembre de 2014. A cuatro digitos." sqref="F2"/>
    <dataValidation allowBlank="1" showInputMessage="1" showErrorMessage="1" prompt="Se refiere al nombre que se asigna a cada uno de los desagregados que se señalan." sqref="G2"/>
    <dataValidation allowBlank="1" showInputMessage="1" showErrorMessage="1" prompt="Refleja las asignaciones presupuestarias anuales comprometidas en el Presupuesto de Egresos." sqref="H2"/>
    <dataValidation allowBlank="1" showInputMessage="1" showErrorMessage="1" prompt="Es el momento que refleja la asignación presupuestaria que resulta de incorporar; en su caso, las adecuaciones presupuestarias al presupuesto aprobado." sqref="J2"/>
    <dataValidation allowBlank="1" showInputMessage="1" showErrorMessage="1" prompt="En esta columna deben registrarse los &quot;cargos&quot; del comprometido. Éste momento contable del gasto refleja la aprobación por autoridad competente de un acto administrativo, u otro instrumento jurídico que formaliza una relación jurídica..." sqref="K2"/>
    <dataValidation allowBlank="1" showInputMessage="1" showErrorMessage="1" prompt="En esta columna deben registrarse los &quot;cargos&quot; del devengado. Este momento contable refleja el reconocimiento de una obligación de pago a favor de terceros por la recepción de conformidad de bienes, servicios y obras oportunamente..." sqref="L2"/>
    <dataValidation allowBlank="1" showInputMessage="1" showErrorMessage="1" prompt="En esta columna deben registrarse los &quot;cargos&quot; del ejercido. Este momento refleja la emisión de una cuenta por liquidar certificada o documento equivalente (solicitud de pago) debidamente aprobado por la autoridad competente." sqref="M2"/>
    <dataValidation allowBlank="1" showInputMessage="1" showErrorMessage="1" prompt="Es el momento que refleja la cancelación total o parcial de las obligaciones de pago, que se concreta mediante el desembolso de efectivo o cualquier otro medio de pago." sqref="N2"/>
    <dataValidation allowBlank="1" showInputMessage="1" showErrorMessage="1" prompt="Clasificación Programática de acuerdo al emitido por el CONAC (DOF 8-ago-13). Letra y número." sqref="B2"/>
    <dataValidation allowBlank="1" showInputMessage="1" showErrorMessage="1" prompt="Modificado menos devengado" sqref="O2"/>
    <dataValidation allowBlank="1" showInputMessage="1" showErrorMessage="1" prompt="Para el llenado de este formato se debe utilizar la Clasificación por Tipo de Gasto aprobado por el CONAC identificando el ejercicio presupuestal de gasto corriente, gasto de capital y el de amortización de la deuda y disminución de pasivos..." sqref="E2"/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workbookViewId="0">
      <selection activeCell="C15" sqref="C15"/>
    </sheetView>
  </sheetViews>
  <sheetFormatPr baseColWidth="10" defaultRowHeight="11.25" x14ac:dyDescent="0.2"/>
  <cols>
    <col min="1" max="1" width="5.83203125" style="27" customWidth="1"/>
    <col min="2" max="2" width="72.83203125" style="27" customWidth="1"/>
    <col min="3" max="5" width="18.33203125" style="27" customWidth="1"/>
    <col min="6" max="6" width="19.83203125" style="27" customWidth="1"/>
    <col min="7" max="8" width="18.33203125" style="27" customWidth="1"/>
    <col min="9" max="16384" width="12" style="27"/>
  </cols>
  <sheetData>
    <row r="1" spans="1:8" ht="35.1" customHeight="1" x14ac:dyDescent="0.2">
      <c r="A1" s="148" t="s">
        <v>337</v>
      </c>
      <c r="B1" s="149"/>
      <c r="C1" s="149"/>
      <c r="D1" s="149"/>
      <c r="E1" s="149"/>
      <c r="F1" s="149"/>
      <c r="G1" s="149"/>
      <c r="H1" s="150"/>
    </row>
    <row r="2" spans="1:8" ht="24.95" customHeight="1" x14ac:dyDescent="0.2">
      <c r="A2" s="43" t="s">
        <v>0</v>
      </c>
      <c r="B2" s="43" t="s">
        <v>4</v>
      </c>
      <c r="C2" s="44" t="s">
        <v>5</v>
      </c>
      <c r="D2" s="44" t="s">
        <v>142</v>
      </c>
      <c r="E2" s="44" t="s">
        <v>6</v>
      </c>
      <c r="F2" s="44" t="s">
        <v>8</v>
      </c>
      <c r="G2" s="44" t="s">
        <v>10</v>
      </c>
      <c r="H2" s="44" t="s">
        <v>11</v>
      </c>
    </row>
    <row r="3" spans="1:8" ht="12" x14ac:dyDescent="0.2">
      <c r="A3" s="7">
        <v>900001</v>
      </c>
      <c r="B3" s="13" t="s">
        <v>12</v>
      </c>
      <c r="C3" s="93">
        <f t="shared" ref="C3:H3" si="0">SUBTOTAL(9,C4:C35)</f>
        <v>52030352</v>
      </c>
      <c r="D3" s="93">
        <f t="shared" si="0"/>
        <v>8016470.1500000013</v>
      </c>
      <c r="E3" s="93">
        <f t="shared" si="0"/>
        <v>60046822.150000006</v>
      </c>
      <c r="F3" s="93">
        <f t="shared" si="0"/>
        <v>12063354.279999999</v>
      </c>
      <c r="G3" s="93">
        <f t="shared" si="0"/>
        <v>11359607.170000002</v>
      </c>
      <c r="H3" s="94">
        <f t="shared" si="0"/>
        <v>85901873.530000001</v>
      </c>
    </row>
    <row r="4" spans="1:8" ht="12" x14ac:dyDescent="0.2">
      <c r="A4" s="37">
        <v>1</v>
      </c>
      <c r="B4" s="38" t="s">
        <v>32</v>
      </c>
      <c r="C4" s="96">
        <f t="shared" ref="C4:H4" si="1">SUBTOTAL(9,C5:C12)</f>
        <v>12763922</v>
      </c>
      <c r="D4" s="96">
        <f t="shared" si="1"/>
        <v>443560.75000000006</v>
      </c>
      <c r="E4" s="96">
        <f t="shared" si="1"/>
        <v>13207482.75</v>
      </c>
      <c r="F4" s="96">
        <f t="shared" si="1"/>
        <v>3142420.54</v>
      </c>
      <c r="G4" s="96">
        <f t="shared" si="1"/>
        <v>2789622</v>
      </c>
      <c r="H4" s="97">
        <f t="shared" si="1"/>
        <v>10065062.210000001</v>
      </c>
    </row>
    <row r="5" spans="1:8" ht="12" x14ac:dyDescent="0.2">
      <c r="A5" s="39">
        <v>11</v>
      </c>
      <c r="B5" s="40" t="s">
        <v>33</v>
      </c>
      <c r="C5" s="98">
        <v>0</v>
      </c>
      <c r="D5" s="98">
        <v>0</v>
      </c>
      <c r="E5" s="98">
        <v>0</v>
      </c>
      <c r="F5" s="98">
        <v>0</v>
      </c>
      <c r="G5" s="98">
        <v>0</v>
      </c>
      <c r="H5" s="99">
        <f>E5-F5</f>
        <v>0</v>
      </c>
    </row>
    <row r="6" spans="1:8" ht="12" x14ac:dyDescent="0.2">
      <c r="A6" s="39">
        <v>12</v>
      </c>
      <c r="B6" s="40" t="s">
        <v>34</v>
      </c>
      <c r="C6" s="98">
        <v>0</v>
      </c>
      <c r="D6" s="98">
        <v>0</v>
      </c>
      <c r="E6" s="98">
        <v>0</v>
      </c>
      <c r="F6" s="98">
        <v>0</v>
      </c>
      <c r="G6" s="98">
        <v>0</v>
      </c>
      <c r="H6" s="99">
        <f t="shared" ref="H6:H35" si="2">E6-F6</f>
        <v>0</v>
      </c>
    </row>
    <row r="7" spans="1:8" ht="12" x14ac:dyDescent="0.2">
      <c r="A7" s="39">
        <v>13</v>
      </c>
      <c r="B7" s="40" t="s">
        <v>44</v>
      </c>
      <c r="C7" s="98">
        <f>EAEPE!H4</f>
        <v>3337968</v>
      </c>
      <c r="D7" s="98">
        <f>EAEPE!I4</f>
        <v>20510.060000000001</v>
      </c>
      <c r="E7" s="98">
        <f>EAEPE!J4</f>
        <v>3358478.06</v>
      </c>
      <c r="F7" s="98">
        <f>EAEPE!L4</f>
        <v>920689.21</v>
      </c>
      <c r="G7" s="98">
        <f>EAEPE!N4</f>
        <v>901668.54999999981</v>
      </c>
      <c r="H7" s="99">
        <f t="shared" si="2"/>
        <v>2437788.85</v>
      </c>
    </row>
    <row r="8" spans="1:8" ht="12" x14ac:dyDescent="0.2">
      <c r="A8" s="39">
        <v>14</v>
      </c>
      <c r="B8" s="40" t="s">
        <v>18</v>
      </c>
      <c r="C8" s="96"/>
      <c r="D8" s="96"/>
      <c r="E8" s="96"/>
      <c r="F8" s="96"/>
      <c r="G8" s="98">
        <v>0</v>
      </c>
      <c r="H8" s="99">
        <f t="shared" si="2"/>
        <v>0</v>
      </c>
    </row>
    <row r="9" spans="1:8" ht="12" x14ac:dyDescent="0.2">
      <c r="A9" s="39">
        <v>15</v>
      </c>
      <c r="B9" s="40" t="s">
        <v>46</v>
      </c>
      <c r="C9" s="98">
        <f>EAEPE!H120+EAEPE!H237+EAEPE!H352</f>
        <v>7230570</v>
      </c>
      <c r="D9" s="98">
        <f>EAEPE!I120+EAEPE!I237+EAEPE!I352</f>
        <v>398828.47000000009</v>
      </c>
      <c r="E9" s="98">
        <f>EAEPE!J120+EAEPE!J237+EAEPE!J352</f>
        <v>7629398.4700000007</v>
      </c>
      <c r="F9" s="98">
        <f>EAEPE!L120+EAEPE!L237+EAEPE!L352</f>
        <v>1872560.94</v>
      </c>
      <c r="G9" s="98">
        <f>EAEPE!N120+EAEPE!N237+EAEPE!N352</f>
        <v>1763201.7800000003</v>
      </c>
      <c r="H9" s="99">
        <f t="shared" si="2"/>
        <v>5756837.5300000012</v>
      </c>
    </row>
    <row r="10" spans="1:8" ht="12" x14ac:dyDescent="0.2">
      <c r="A10" s="39">
        <v>16</v>
      </c>
      <c r="B10" s="40" t="s">
        <v>35</v>
      </c>
      <c r="C10" s="98">
        <v>0</v>
      </c>
      <c r="D10" s="98">
        <v>0</v>
      </c>
      <c r="E10" s="98">
        <v>0</v>
      </c>
      <c r="F10" s="98">
        <v>0</v>
      </c>
      <c r="G10" s="98">
        <v>0</v>
      </c>
      <c r="H10" s="99">
        <f t="shared" si="2"/>
        <v>0</v>
      </c>
    </row>
    <row r="11" spans="1:8" ht="12" x14ac:dyDescent="0.2">
      <c r="A11" s="39">
        <v>17</v>
      </c>
      <c r="B11" s="40" t="s">
        <v>47</v>
      </c>
      <c r="C11" s="98">
        <v>0</v>
      </c>
      <c r="D11" s="98">
        <v>0</v>
      </c>
      <c r="E11" s="98">
        <v>0</v>
      </c>
      <c r="F11" s="98">
        <v>0</v>
      </c>
      <c r="G11" s="98">
        <v>0</v>
      </c>
      <c r="H11" s="99">
        <f t="shared" si="2"/>
        <v>0</v>
      </c>
    </row>
    <row r="12" spans="1:8" ht="12" x14ac:dyDescent="0.2">
      <c r="A12" s="39">
        <v>18</v>
      </c>
      <c r="B12" s="40" t="s">
        <v>36</v>
      </c>
      <c r="C12" s="98">
        <f>EAEPE!H467+EAEPE!H585</f>
        <v>2195384</v>
      </c>
      <c r="D12" s="98">
        <f>EAEPE!I467+EAEPE!I585</f>
        <v>24222.219999999994</v>
      </c>
      <c r="E12" s="98">
        <f>EAEPE!J467+EAEPE!J585</f>
        <v>2219606.2199999997</v>
      </c>
      <c r="F12" s="98">
        <f>EAEPE!L467+EAEPE!L585</f>
        <v>349170.39</v>
      </c>
      <c r="G12" s="98">
        <f>EAEPE!N467+EAEPE!N585</f>
        <v>124751.67</v>
      </c>
      <c r="H12" s="99">
        <f t="shared" si="2"/>
        <v>1870435.8299999996</v>
      </c>
    </row>
    <row r="13" spans="1:8" ht="12" x14ac:dyDescent="0.2">
      <c r="A13" s="37">
        <v>2</v>
      </c>
      <c r="B13" s="38" t="s">
        <v>37</v>
      </c>
      <c r="C13" s="96">
        <f t="shared" ref="C13:G13" si="3">SUBTOTAL(9,C14:C20)</f>
        <v>39266430</v>
      </c>
      <c r="D13" s="96">
        <f t="shared" si="3"/>
        <v>7572909.4000000013</v>
      </c>
      <c r="E13" s="96">
        <f t="shared" si="3"/>
        <v>46839339.400000006</v>
      </c>
      <c r="F13" s="96">
        <f t="shared" si="3"/>
        <v>8920933.7400000002</v>
      </c>
      <c r="G13" s="96">
        <f t="shared" si="3"/>
        <v>8569985.1700000018</v>
      </c>
      <c r="H13" s="99">
        <f t="shared" si="2"/>
        <v>37918405.660000004</v>
      </c>
    </row>
    <row r="14" spans="1:8" ht="12" x14ac:dyDescent="0.2">
      <c r="A14" s="39">
        <v>21</v>
      </c>
      <c r="B14" s="40" t="s">
        <v>38</v>
      </c>
      <c r="C14" s="98">
        <f>EAEPE!H700</f>
        <v>4662045</v>
      </c>
      <c r="D14" s="98">
        <f>EAEPE!I700</f>
        <v>29631.380000000026</v>
      </c>
      <c r="E14" s="98">
        <f>EAEPE!J700</f>
        <v>4691676.3800000008</v>
      </c>
      <c r="F14" s="98">
        <f>EAEPE!L700</f>
        <v>1222460.93</v>
      </c>
      <c r="G14" s="98">
        <f>EAEPE!N700</f>
        <v>1011024.6900000001</v>
      </c>
      <c r="H14" s="99">
        <f t="shared" si="2"/>
        <v>3469215.4500000011</v>
      </c>
    </row>
    <row r="15" spans="1:8" ht="12" x14ac:dyDescent="0.2">
      <c r="A15" s="39">
        <v>22</v>
      </c>
      <c r="B15" s="40" t="s">
        <v>58</v>
      </c>
      <c r="C15" s="98">
        <f>EAEPE!H817+EAEPE!H935</f>
        <v>34604385</v>
      </c>
      <c r="D15" s="98">
        <f>EAEPE!I817+EAEPE!I935</f>
        <v>7543278.0200000014</v>
      </c>
      <c r="E15" s="98">
        <f>EAEPE!J817+EAEPE!J935</f>
        <v>42147663.020000003</v>
      </c>
      <c r="F15" s="98">
        <f>EAEPE!L817+EAEPE!L935</f>
        <v>7698472.8099999996</v>
      </c>
      <c r="G15" s="98">
        <f>EAEPE!N817+EAEPE!N935</f>
        <v>7558960.4800000023</v>
      </c>
      <c r="H15" s="99">
        <f t="shared" si="2"/>
        <v>34449190.210000001</v>
      </c>
    </row>
    <row r="16" spans="1:8" ht="12" x14ac:dyDescent="0.2">
      <c r="A16" s="39">
        <v>23</v>
      </c>
      <c r="B16" s="40" t="s">
        <v>39</v>
      </c>
      <c r="C16" s="98">
        <v>0</v>
      </c>
      <c r="D16" s="98">
        <v>0</v>
      </c>
      <c r="E16" s="98">
        <v>0</v>
      </c>
      <c r="F16" s="98">
        <v>0</v>
      </c>
      <c r="G16" s="98">
        <v>0</v>
      </c>
      <c r="H16" s="99">
        <f t="shared" si="2"/>
        <v>0</v>
      </c>
    </row>
    <row r="17" spans="1:8" ht="12" x14ac:dyDescent="0.2">
      <c r="A17" s="39">
        <v>24</v>
      </c>
      <c r="B17" s="40" t="s">
        <v>48</v>
      </c>
      <c r="C17" s="98">
        <v>0</v>
      </c>
      <c r="D17" s="98">
        <v>0</v>
      </c>
      <c r="E17" s="98">
        <v>0</v>
      </c>
      <c r="F17" s="98">
        <v>0</v>
      </c>
      <c r="G17" s="98">
        <v>0</v>
      </c>
      <c r="H17" s="99">
        <f t="shared" si="2"/>
        <v>0</v>
      </c>
    </row>
    <row r="18" spans="1:8" ht="12" x14ac:dyDescent="0.2">
      <c r="A18" s="39">
        <v>25</v>
      </c>
      <c r="B18" s="40" t="s">
        <v>40</v>
      </c>
      <c r="C18" s="98">
        <v>0</v>
      </c>
      <c r="D18" s="98">
        <v>0</v>
      </c>
      <c r="E18" s="98">
        <v>0</v>
      </c>
      <c r="F18" s="98">
        <v>0</v>
      </c>
      <c r="G18" s="98">
        <v>0</v>
      </c>
      <c r="H18" s="99">
        <f t="shared" si="2"/>
        <v>0</v>
      </c>
    </row>
    <row r="19" spans="1:8" ht="12" x14ac:dyDescent="0.2">
      <c r="A19" s="39">
        <v>26</v>
      </c>
      <c r="B19" s="40" t="s">
        <v>41</v>
      </c>
      <c r="C19" s="98">
        <v>0</v>
      </c>
      <c r="D19" s="98">
        <v>0</v>
      </c>
      <c r="E19" s="98">
        <v>0</v>
      </c>
      <c r="F19" s="98">
        <v>0</v>
      </c>
      <c r="G19" s="98">
        <v>0</v>
      </c>
      <c r="H19" s="99">
        <f t="shared" si="2"/>
        <v>0</v>
      </c>
    </row>
    <row r="20" spans="1:8" ht="12" x14ac:dyDescent="0.2">
      <c r="A20" s="39">
        <v>27</v>
      </c>
      <c r="B20" s="40" t="s">
        <v>19</v>
      </c>
      <c r="C20" s="98">
        <v>0</v>
      </c>
      <c r="D20" s="98">
        <v>0</v>
      </c>
      <c r="E20" s="98">
        <v>0</v>
      </c>
      <c r="F20" s="98">
        <v>0</v>
      </c>
      <c r="G20" s="98">
        <v>0</v>
      </c>
      <c r="H20" s="99">
        <f t="shared" si="2"/>
        <v>0</v>
      </c>
    </row>
    <row r="21" spans="1:8" ht="12" x14ac:dyDescent="0.2">
      <c r="A21" s="37">
        <v>3</v>
      </c>
      <c r="B21" s="38" t="s">
        <v>42</v>
      </c>
      <c r="C21" s="98">
        <v>0</v>
      </c>
      <c r="D21" s="98">
        <v>0</v>
      </c>
      <c r="E21" s="98">
        <v>0</v>
      </c>
      <c r="F21" s="98">
        <v>0</v>
      </c>
      <c r="G21" s="98">
        <v>0</v>
      </c>
      <c r="H21" s="99">
        <f t="shared" si="2"/>
        <v>0</v>
      </c>
    </row>
    <row r="22" spans="1:8" ht="12" x14ac:dyDescent="0.2">
      <c r="A22" s="39">
        <v>31</v>
      </c>
      <c r="B22" s="40" t="s">
        <v>59</v>
      </c>
      <c r="C22" s="98">
        <v>0</v>
      </c>
      <c r="D22" s="98">
        <v>0</v>
      </c>
      <c r="E22" s="98">
        <v>0</v>
      </c>
      <c r="F22" s="98">
        <v>0</v>
      </c>
      <c r="G22" s="98">
        <v>0</v>
      </c>
      <c r="H22" s="99">
        <f t="shared" si="2"/>
        <v>0</v>
      </c>
    </row>
    <row r="23" spans="1:8" ht="12" x14ac:dyDescent="0.2">
      <c r="A23" s="39">
        <v>32</v>
      </c>
      <c r="B23" s="40" t="s">
        <v>49</v>
      </c>
      <c r="C23" s="98">
        <v>0</v>
      </c>
      <c r="D23" s="98">
        <v>0</v>
      </c>
      <c r="E23" s="98">
        <v>0</v>
      </c>
      <c r="F23" s="98">
        <v>0</v>
      </c>
      <c r="G23" s="98">
        <v>0</v>
      </c>
      <c r="H23" s="99">
        <f t="shared" si="2"/>
        <v>0</v>
      </c>
    </row>
    <row r="24" spans="1:8" ht="12" x14ac:dyDescent="0.2">
      <c r="A24" s="39">
        <v>33</v>
      </c>
      <c r="B24" s="40" t="s">
        <v>60</v>
      </c>
      <c r="C24" s="98">
        <v>0</v>
      </c>
      <c r="D24" s="98">
        <v>0</v>
      </c>
      <c r="E24" s="98">
        <v>0</v>
      </c>
      <c r="F24" s="98">
        <v>0</v>
      </c>
      <c r="G24" s="98">
        <v>0</v>
      </c>
      <c r="H24" s="99">
        <f t="shared" si="2"/>
        <v>0</v>
      </c>
    </row>
    <row r="25" spans="1:8" ht="12" x14ac:dyDescent="0.2">
      <c r="A25" s="39">
        <v>34</v>
      </c>
      <c r="B25" s="40" t="s">
        <v>50</v>
      </c>
      <c r="C25" s="98">
        <v>0</v>
      </c>
      <c r="D25" s="98">
        <v>0</v>
      </c>
      <c r="E25" s="98">
        <v>0</v>
      </c>
      <c r="F25" s="98">
        <v>0</v>
      </c>
      <c r="G25" s="98">
        <v>0</v>
      </c>
      <c r="H25" s="99">
        <f t="shared" si="2"/>
        <v>0</v>
      </c>
    </row>
    <row r="26" spans="1:8" ht="12" x14ac:dyDescent="0.2">
      <c r="A26" s="39">
        <v>35</v>
      </c>
      <c r="B26" s="40" t="s">
        <v>43</v>
      </c>
      <c r="C26" s="98">
        <v>0</v>
      </c>
      <c r="D26" s="98">
        <v>0</v>
      </c>
      <c r="E26" s="98">
        <v>0</v>
      </c>
      <c r="F26" s="98">
        <v>0</v>
      </c>
      <c r="G26" s="98">
        <v>0</v>
      </c>
      <c r="H26" s="99">
        <f t="shared" si="2"/>
        <v>0</v>
      </c>
    </row>
    <row r="27" spans="1:8" ht="12" x14ac:dyDescent="0.2">
      <c r="A27" s="39">
        <v>36</v>
      </c>
      <c r="B27" s="40" t="s">
        <v>20</v>
      </c>
      <c r="C27" s="98">
        <v>0</v>
      </c>
      <c r="D27" s="98">
        <v>0</v>
      </c>
      <c r="E27" s="98">
        <v>0</v>
      </c>
      <c r="F27" s="98">
        <v>0</v>
      </c>
      <c r="G27" s="98">
        <v>0</v>
      </c>
      <c r="H27" s="99">
        <f t="shared" si="2"/>
        <v>0</v>
      </c>
    </row>
    <row r="28" spans="1:8" ht="12" x14ac:dyDescent="0.2">
      <c r="A28" s="39">
        <v>37</v>
      </c>
      <c r="B28" s="40" t="s">
        <v>21</v>
      </c>
      <c r="C28" s="98">
        <v>0</v>
      </c>
      <c r="D28" s="98">
        <v>0</v>
      </c>
      <c r="E28" s="98">
        <v>0</v>
      </c>
      <c r="F28" s="98">
        <v>0</v>
      </c>
      <c r="G28" s="98">
        <v>0</v>
      </c>
      <c r="H28" s="99">
        <f t="shared" si="2"/>
        <v>0</v>
      </c>
    </row>
    <row r="29" spans="1:8" ht="12" x14ac:dyDescent="0.2">
      <c r="A29" s="39">
        <v>38</v>
      </c>
      <c r="B29" s="40" t="s">
        <v>52</v>
      </c>
      <c r="C29" s="98">
        <v>0</v>
      </c>
      <c r="D29" s="98">
        <v>0</v>
      </c>
      <c r="E29" s="98">
        <v>0</v>
      </c>
      <c r="F29" s="98">
        <v>0</v>
      </c>
      <c r="G29" s="98">
        <v>0</v>
      </c>
      <c r="H29" s="99">
        <f t="shared" si="2"/>
        <v>0</v>
      </c>
    </row>
    <row r="30" spans="1:8" ht="12" x14ac:dyDescent="0.2">
      <c r="A30" s="39">
        <v>39</v>
      </c>
      <c r="B30" s="40" t="s">
        <v>61</v>
      </c>
      <c r="C30" s="98">
        <v>0</v>
      </c>
      <c r="D30" s="98">
        <v>0</v>
      </c>
      <c r="E30" s="98">
        <v>0</v>
      </c>
      <c r="F30" s="98">
        <v>0</v>
      </c>
      <c r="G30" s="98">
        <v>0</v>
      </c>
      <c r="H30" s="99">
        <f t="shared" si="2"/>
        <v>0</v>
      </c>
    </row>
    <row r="31" spans="1:8" ht="12" x14ac:dyDescent="0.2">
      <c r="A31" s="37">
        <v>4</v>
      </c>
      <c r="B31" s="38" t="s">
        <v>62</v>
      </c>
      <c r="C31" s="98">
        <v>0</v>
      </c>
      <c r="D31" s="98">
        <v>0</v>
      </c>
      <c r="E31" s="98">
        <v>0</v>
      </c>
      <c r="F31" s="98">
        <v>0</v>
      </c>
      <c r="G31" s="98">
        <v>0</v>
      </c>
      <c r="H31" s="99">
        <f t="shared" si="2"/>
        <v>0</v>
      </c>
    </row>
    <row r="32" spans="1:8" ht="12" x14ac:dyDescent="0.2">
      <c r="A32" s="39">
        <v>41</v>
      </c>
      <c r="B32" s="40" t="s">
        <v>45</v>
      </c>
      <c r="C32" s="98">
        <v>0</v>
      </c>
      <c r="D32" s="98">
        <v>0</v>
      </c>
      <c r="E32" s="98">
        <v>0</v>
      </c>
      <c r="F32" s="98">
        <v>0</v>
      </c>
      <c r="G32" s="98">
        <v>0</v>
      </c>
      <c r="H32" s="99">
        <f t="shared" si="2"/>
        <v>0</v>
      </c>
    </row>
    <row r="33" spans="1:8" ht="22.5" x14ac:dyDescent="0.2">
      <c r="A33" s="39">
        <v>42</v>
      </c>
      <c r="B33" s="40" t="s">
        <v>51</v>
      </c>
      <c r="C33" s="98">
        <v>0</v>
      </c>
      <c r="D33" s="98">
        <v>0</v>
      </c>
      <c r="E33" s="98">
        <v>0</v>
      </c>
      <c r="F33" s="98">
        <v>0</v>
      </c>
      <c r="G33" s="98">
        <v>0</v>
      </c>
      <c r="H33" s="99">
        <f t="shared" si="2"/>
        <v>0</v>
      </c>
    </row>
    <row r="34" spans="1:8" ht="12" x14ac:dyDescent="0.2">
      <c r="A34" s="39">
        <v>43</v>
      </c>
      <c r="B34" s="40" t="s">
        <v>63</v>
      </c>
      <c r="C34" s="98">
        <v>0</v>
      </c>
      <c r="D34" s="98">
        <v>0</v>
      </c>
      <c r="E34" s="98">
        <v>0</v>
      </c>
      <c r="F34" s="98">
        <v>0</v>
      </c>
      <c r="G34" s="98">
        <v>0</v>
      </c>
      <c r="H34" s="99">
        <f t="shared" si="2"/>
        <v>0</v>
      </c>
    </row>
    <row r="35" spans="1:8" ht="12" x14ac:dyDescent="0.2">
      <c r="A35" s="41">
        <v>44</v>
      </c>
      <c r="B35" s="42" t="s">
        <v>22</v>
      </c>
      <c r="C35" s="100">
        <v>0</v>
      </c>
      <c r="D35" s="100">
        <v>0</v>
      </c>
      <c r="E35" s="100">
        <v>0</v>
      </c>
      <c r="F35" s="100">
        <v>0</v>
      </c>
      <c r="G35" s="100">
        <v>0</v>
      </c>
      <c r="H35" s="99">
        <f t="shared" si="2"/>
        <v>0</v>
      </c>
    </row>
    <row r="37" spans="1:8" x14ac:dyDescent="0.2">
      <c r="A37" s="52"/>
      <c r="B37" s="50"/>
      <c r="C37" s="50"/>
      <c r="D37" s="51"/>
    </row>
    <row r="38" spans="1:8" x14ac:dyDescent="0.2">
      <c r="A38" s="53"/>
      <c r="B38" s="54"/>
      <c r="C38" s="53"/>
      <c r="D38" s="53"/>
      <c r="E38" s="26"/>
      <c r="F38" s="26"/>
      <c r="G38" s="26"/>
      <c r="H38" s="26"/>
    </row>
    <row r="39" spans="1:8" x14ac:dyDescent="0.2">
      <c r="A39" s="55"/>
      <c r="B39" s="53"/>
      <c r="C39" s="53"/>
      <c r="D39" s="53"/>
      <c r="E39" s="26"/>
      <c r="F39" s="26"/>
      <c r="G39" s="26"/>
      <c r="H39" s="26"/>
    </row>
  </sheetData>
  <sheetProtection algorithmName="SHA-512" hashValue="YTxN1dysXD/xPP9iyY9opMyMYcyB4qMXYcXjqSvaDnNi47Xoa93NUzjBjJy0Kg/Qg6domuHeIPBszGFl0qrxqQ==" saltValue="EeyZRUl8nDK0qPu5PVsbPQ==" spinCount="100000" sheet="1" objects="1" scenarios="1" autoFilter="0"/>
  <protectedRanges>
    <protectedRange sqref="C3:H3" name="Rango1_2"/>
  </protectedRanges>
  <mergeCells count="1">
    <mergeCell ref="A1:H1"/>
  </mergeCells>
  <dataValidations disablePrompts="1" count="8">
    <dataValidation allowBlank="1" showInputMessage="1" showErrorMessage="1" prompt="Es el momento que refleja la cancelación total o parcial de las obligaciones de pago, que se concreta mediante el desembolso de efectivo o cualquier otro medio de pago." sqref="G2"/>
    <dataValidation allowBlank="1" showInputMessage="1" showErrorMessage="1" prompt="En esta columna deben registrarse los &quot;cargos&quot; del devengado. Este momento contable refleja el reconocimiento de una obligación de pago a favor de terceros por la recepción de conformidad de bienes, servicios y obras oportunamente..." sqref="F2"/>
    <dataValidation allowBlank="1" showInputMessage="1" showErrorMessage="1" prompt="Es el momento que refleja la asignación presupuestaria que resulta de incorporar; en su caso, las adecuaciones presupuestarias al presupuesto aprobado." sqref="E2"/>
    <dataValidation allowBlank="1" showInputMessage="1" showErrorMessage="1" prompt="Refleja las asignaciones presupuestarias anuales comprometidas en el Presupuesto de Egresos." sqref="C2"/>
    <dataValidation allowBlank="1" showInputMessage="1" showErrorMessage="1" prompt="Se refiere al nombre que se asigna a cada uno de los desagregados que se señalan." sqref="B2"/>
    <dataValidation allowBlank="1" showInputMessage="1" showErrorMessage="1" prompt="Refleja las modificaciones realizadas al Presupuesto Aprobado" sqref="D2"/>
    <dataValidation allowBlank="1" showInputMessage="1" showErrorMessage="1" prompt="Modificado menos devengado" sqref="H2"/>
    <dataValidation allowBlank="1" showInputMessage="1" showErrorMessage="1" prompt="Para el llenado de este formato se debe utilizar el Clasificador Funcional aprobado por el CONAC a nivel de Finalidad y Función." sqref="A2"/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3"/>
  <sheetViews>
    <sheetView showGridLines="0" workbookViewId="0">
      <selection activeCell="F83" sqref="F83"/>
    </sheetView>
  </sheetViews>
  <sheetFormatPr baseColWidth="10" defaultRowHeight="11.25" x14ac:dyDescent="0.2"/>
  <cols>
    <col min="1" max="1" width="9.1640625" style="27" customWidth="1"/>
    <col min="2" max="2" width="61.1640625" style="27" bestFit="1" customWidth="1"/>
    <col min="3" max="3" width="18.33203125" style="27" customWidth="1"/>
    <col min="4" max="4" width="19.83203125" style="27" customWidth="1"/>
    <col min="5" max="8" width="18.33203125" style="27" customWidth="1"/>
    <col min="9" max="16384" width="12" style="27"/>
  </cols>
  <sheetData>
    <row r="1" spans="1:8" ht="35.1" customHeight="1" x14ac:dyDescent="0.2">
      <c r="A1" s="148" t="s">
        <v>335</v>
      </c>
      <c r="B1" s="149"/>
      <c r="C1" s="149"/>
      <c r="D1" s="149"/>
      <c r="E1" s="149"/>
      <c r="F1" s="149"/>
      <c r="G1" s="149"/>
      <c r="H1" s="150"/>
    </row>
    <row r="2" spans="1:8" ht="24.95" customHeight="1" x14ac:dyDescent="0.2">
      <c r="A2" s="43" t="s">
        <v>3</v>
      </c>
      <c r="B2" s="43" t="s">
        <v>4</v>
      </c>
      <c r="C2" s="44" t="s">
        <v>5</v>
      </c>
      <c r="D2" s="44" t="s">
        <v>142</v>
      </c>
      <c r="E2" s="44" t="s">
        <v>6</v>
      </c>
      <c r="F2" s="44" t="s">
        <v>8</v>
      </c>
      <c r="G2" s="44" t="s">
        <v>10</v>
      </c>
      <c r="H2" s="44" t="s">
        <v>11</v>
      </c>
    </row>
    <row r="3" spans="1:8" x14ac:dyDescent="0.2">
      <c r="A3" s="23">
        <v>900001</v>
      </c>
      <c r="B3" s="8" t="s">
        <v>12</v>
      </c>
      <c r="C3" s="85">
        <f>+C4+C12+C22+C32+C42+C52+C56+C64+C68</f>
        <v>52450352</v>
      </c>
      <c r="D3" s="85">
        <f>+D4+D12+D22+D32+D42+D52+D56+D64+D68</f>
        <v>7716470.1500000022</v>
      </c>
      <c r="E3" s="85">
        <f>+E4+E12+E22+E32+E42+E52+E56+E64+E68</f>
        <v>60166822.150000006</v>
      </c>
      <c r="F3" s="85">
        <f>+F4+F12+F22+F32+F42+F52+F56+F64+F68</f>
        <v>12063354.279999999</v>
      </c>
      <c r="G3" s="85">
        <f>+G4+G12+G22+G32+G42+G52+G56+G64+G68</f>
        <v>11383666.389999976</v>
      </c>
      <c r="H3" s="86">
        <f t="shared" ref="H3:H66" si="0">E3-F3</f>
        <v>48103467.870000005</v>
      </c>
    </row>
    <row r="4" spans="1:8" x14ac:dyDescent="0.2">
      <c r="A4" s="28">
        <v>1000</v>
      </c>
      <c r="B4" s="29" t="s">
        <v>70</v>
      </c>
      <c r="C4" s="87">
        <f>[1]!'@CTA[8-2-1-1,F,#4]'</f>
        <v>17584398</v>
      </c>
      <c r="D4" s="87">
        <f>[1]!'@CTA[8-2-3-1,F,#4]'</f>
        <v>577140.59999999905</v>
      </c>
      <c r="E4" s="87">
        <f>[1]!'@CTA[8-2-1-1,F,#4]'+[1]!'@CTA[8-2-3-1,F,#4]'</f>
        <v>18161538.599999998</v>
      </c>
      <c r="F4" s="87">
        <f>[1]!'@CTA[8-2-5-1,J,#4]'</f>
        <v>3914998.8099999996</v>
      </c>
      <c r="G4" s="87">
        <f>[1]!'@CTA[8-2-7-1,F,#4]'</f>
        <v>3591799.2099999841</v>
      </c>
      <c r="H4" s="88">
        <f t="shared" si="0"/>
        <v>14246539.789999999</v>
      </c>
    </row>
    <row r="5" spans="1:8" x14ac:dyDescent="0.2">
      <c r="A5" s="28">
        <v>1100</v>
      </c>
      <c r="B5" s="29" t="s">
        <v>71</v>
      </c>
      <c r="C5" s="89">
        <f>[1]!'@CTA[8-2-1-1-1,F,#5]'</f>
        <v>9706928</v>
      </c>
      <c r="D5" s="89">
        <f>[1]!'@CTA[8-2-3-1-1,F,#5]'</f>
        <v>-1.1641532182693481E-10</v>
      </c>
      <c r="E5" s="89">
        <f>[1]!'@CTA[8-2-1-1-1,F,#5]'+[1]!'@CTA[8-2-3-1-1,F,#5]'</f>
        <v>9706928</v>
      </c>
      <c r="F5" s="89">
        <f>[1]!'@CTA[8-2-5-1-1,J,#5]'</f>
        <v>2209962.7200000002</v>
      </c>
      <c r="G5" s="89">
        <f>[1]!'@CTA[8-2-7-1-1,F,#5]'</f>
        <v>2041912.6799999971</v>
      </c>
      <c r="H5" s="90">
        <f t="shared" si="0"/>
        <v>7496965.2799999993</v>
      </c>
    </row>
    <row r="6" spans="1:8" x14ac:dyDescent="0.2">
      <c r="A6" s="28">
        <v>1200</v>
      </c>
      <c r="B6" s="29" t="s">
        <v>72</v>
      </c>
      <c r="C6" s="89">
        <f>[1]!'@CTA[8-2-1-1-2,F,#5]'</f>
        <v>760618</v>
      </c>
      <c r="D6" s="89">
        <f>[1]!'@CTA[8-2-3-1-2,F,#5]'</f>
        <v>0</v>
      </c>
      <c r="E6" s="89">
        <f>[1]!'@CTA[8-2-1-1-2,F,#5]'+[1]!'@CTA[8-2-3-1-2,F,#5]'</f>
        <v>760618</v>
      </c>
      <c r="F6" s="89">
        <f>[1]!'@CTA[8-2-5-1-2,J,#5]'</f>
        <v>131985.1</v>
      </c>
      <c r="G6" s="89">
        <f>[1]!'@CTA[8-2-7-1-2,F,#5]'</f>
        <v>131985.09999999971</v>
      </c>
      <c r="H6" s="90">
        <f t="shared" si="0"/>
        <v>628632.9</v>
      </c>
    </row>
    <row r="7" spans="1:8" x14ac:dyDescent="0.2">
      <c r="A7" s="28">
        <v>1300</v>
      </c>
      <c r="B7" s="29" t="s">
        <v>73</v>
      </c>
      <c r="C7" s="89">
        <f>[1]!'@CTA[8-2-1-1-3,F,#5]'</f>
        <v>2004291</v>
      </c>
      <c r="D7" s="89">
        <f>[1]!'@CTA[8-2-3-1-3,F,#5]'</f>
        <v>165858.89000000025</v>
      </c>
      <c r="E7" s="89">
        <f>[1]!'@CTA[8-2-1-1-3,F,#5]'+[1]!'@CTA[8-2-3-1-3,F,#5]'</f>
        <v>2170149.89</v>
      </c>
      <c r="F7" s="89">
        <f>[1]!'@CTA[8-2-5-1-3,J,#5]'</f>
        <v>419138.66000000003</v>
      </c>
      <c r="G7" s="89">
        <f>[1]!'@CTA[8-2-7-1-3,F,#5]'</f>
        <v>407078.56999999908</v>
      </c>
      <c r="H7" s="90">
        <f t="shared" si="0"/>
        <v>1751011.23</v>
      </c>
    </row>
    <row r="8" spans="1:8" x14ac:dyDescent="0.2">
      <c r="A8" s="28">
        <v>1400</v>
      </c>
      <c r="B8" s="29" t="s">
        <v>74</v>
      </c>
      <c r="C8" s="89">
        <f>[1]!'@CTA[8-2-1-1-4,F,#5]'</f>
        <v>2469709</v>
      </c>
      <c r="D8" s="89">
        <f>[1]!'@CTA[8-2-3-1-4,F,#5]'</f>
        <v>277140.60000000003</v>
      </c>
      <c r="E8" s="89">
        <f>[1]!'@CTA[8-2-1-1-4,F,#5]'+[1]!'@CTA[8-2-3-1-4,F,#5]'</f>
        <v>2746849.6</v>
      </c>
      <c r="F8" s="89">
        <f>[1]!'@CTA[8-2-5-1-4,J,#5]'</f>
        <v>510228.94000000012</v>
      </c>
      <c r="G8" s="89">
        <f>[1]!'@CTA[8-2-7-1-4,F,#5]'</f>
        <v>411319.09000000113</v>
      </c>
      <c r="H8" s="90">
        <f t="shared" si="0"/>
        <v>2236620.66</v>
      </c>
    </row>
    <row r="9" spans="1:8" x14ac:dyDescent="0.2">
      <c r="A9" s="28">
        <v>1500</v>
      </c>
      <c r="B9" s="29" t="s">
        <v>75</v>
      </c>
      <c r="C9" s="89">
        <f>[1]!'@CTA[8-2-1-1-5,F,#5]'</f>
        <v>2642852</v>
      </c>
      <c r="D9" s="89">
        <f>[1]!'@CTA[8-2-3-1-5,F,#5]'</f>
        <v>134141.11000000004</v>
      </c>
      <c r="E9" s="89">
        <f>[1]!'@CTA[8-2-1-1-5,F,#5]'+[1]!'@CTA[8-2-3-1-5,F,#5]'</f>
        <v>2776993.11</v>
      </c>
      <c r="F9" s="89">
        <f>[1]!'@CTA[8-2-5-1-5,J,#5]'</f>
        <v>643683.39</v>
      </c>
      <c r="G9" s="89">
        <f>[1]!'@CTA[8-2-7-1-5,F,#5]'</f>
        <v>599503.76999999979</v>
      </c>
      <c r="H9" s="90">
        <f t="shared" si="0"/>
        <v>2133309.7199999997</v>
      </c>
    </row>
    <row r="10" spans="1:8" x14ac:dyDescent="0.2">
      <c r="A10" s="28">
        <v>1600</v>
      </c>
      <c r="B10" s="29" t="s">
        <v>76</v>
      </c>
      <c r="C10" s="89">
        <f>[1]!'@CTA[8-2-1-1-6,F,#5]'</f>
        <v>0</v>
      </c>
      <c r="D10" s="89">
        <f>[1]!'@CTA[8-2-3-1-6,F,#5]'</f>
        <v>0</v>
      </c>
      <c r="E10" s="89">
        <f>[1]!'@CTA[8-2-1-1-6,F,#5]'+[1]!'@CTA[8-2-3-1-6,F,#5]'</f>
        <v>0</v>
      </c>
      <c r="F10" s="89">
        <f>[1]!'@CTA[8-2-5-1-6,J,#5]'</f>
        <v>0</v>
      </c>
      <c r="G10" s="89">
        <f>[1]!'@CTA[8-2-7-1-6,F,#5]'</f>
        <v>0</v>
      </c>
      <c r="H10" s="90">
        <f t="shared" si="0"/>
        <v>0</v>
      </c>
    </row>
    <row r="11" spans="1:8" x14ac:dyDescent="0.2">
      <c r="A11" s="28">
        <v>1700</v>
      </c>
      <c r="B11" s="29" t="s">
        <v>77</v>
      </c>
      <c r="C11" s="89">
        <f>[1]!'@CTA[8-2-1-1-7,F,#5]'</f>
        <v>0</v>
      </c>
      <c r="D11" s="89">
        <f>[1]!'@CTA[8-2-3-1-7,F,#5]'</f>
        <v>0</v>
      </c>
      <c r="E11" s="89">
        <f>[1]!'@CTA[8-2-1-1-7,F,#5]'+[1]!'@CTA[8-2-3-1-7,F,#5]'</f>
        <v>0</v>
      </c>
      <c r="F11" s="89">
        <f>[1]!'@CTA[8-2-5-1-7,J,#5]'</f>
        <v>0</v>
      </c>
      <c r="G11" s="89">
        <f>[1]!'@CTA[8-2-7-1-7,F,#5]'</f>
        <v>0</v>
      </c>
      <c r="H11" s="90">
        <f t="shared" si="0"/>
        <v>0</v>
      </c>
    </row>
    <row r="12" spans="1:8" x14ac:dyDescent="0.2">
      <c r="A12" s="28">
        <v>2000</v>
      </c>
      <c r="B12" s="29" t="s">
        <v>78</v>
      </c>
      <c r="C12" s="87">
        <f>[1]!'@CTA[8-2-1-2,F,#4]'</f>
        <v>5576045</v>
      </c>
      <c r="D12" s="87">
        <f>[1]!'@CTA[8-2-3-2,F,#4]'</f>
        <v>-3799.8999999990688</v>
      </c>
      <c r="E12" s="87">
        <f>[1]!'@CTA[8-2-1-2,F,#4]'+[1]!'@CTA[8-2-3-2,F,#4]'</f>
        <v>5572245.1000000006</v>
      </c>
      <c r="F12" s="87">
        <f>[1]!'@CTA[8-2-5-2,J,#4]'</f>
        <v>1194469.5199999998</v>
      </c>
      <c r="G12" s="87">
        <f>[1]!'@CTA[8-2-7-2,F,#4]'</f>
        <v>1160788.8099999987</v>
      </c>
      <c r="H12" s="88">
        <f t="shared" si="0"/>
        <v>4377775.580000001</v>
      </c>
    </row>
    <row r="13" spans="1:8" x14ac:dyDescent="0.2">
      <c r="A13" s="28">
        <v>2100</v>
      </c>
      <c r="B13" s="29" t="s">
        <v>79</v>
      </c>
      <c r="C13" s="89">
        <f>[1]!'@CTA[8-2-1-2-1,F,#5]'</f>
        <v>379285</v>
      </c>
      <c r="D13" s="89">
        <f>[1]!'@CTA[8-2-3-2-1,F,#5]'</f>
        <v>6.0000000029103828E-2</v>
      </c>
      <c r="E13" s="89">
        <f>[1]!'@CTA[8-2-1-2-1,F,#5]'+[1]!'@CTA[8-2-3-2-1,F,#5]'</f>
        <v>379285.06000000006</v>
      </c>
      <c r="F13" s="89">
        <f>[1]!'@CTA[8-2-5-2-1,J,#5]'</f>
        <v>45147.75</v>
      </c>
      <c r="G13" s="89">
        <f>[1]!'@CTA[8-2-7-2-1,F,#5]'</f>
        <v>41368.419999999955</v>
      </c>
      <c r="H13" s="90">
        <f t="shared" si="0"/>
        <v>334137.31000000006</v>
      </c>
    </row>
    <row r="14" spans="1:8" x14ac:dyDescent="0.2">
      <c r="A14" s="28">
        <v>2200</v>
      </c>
      <c r="B14" s="29" t="s">
        <v>80</v>
      </c>
      <c r="C14" s="89">
        <f>[1]!'@CTA[8-2-1-2-2,F,#5]'</f>
        <v>60744</v>
      </c>
      <c r="D14" s="89">
        <f>[1]!'@CTA[8-2-3-2-2,F,#5]'</f>
        <v>4.0000000007275958E-2</v>
      </c>
      <c r="E14" s="89">
        <f>[1]!'@CTA[8-2-1-2-2,F,#5]'+[1]!'@CTA[8-2-3-2-2,F,#5]'</f>
        <v>60744.040000000008</v>
      </c>
      <c r="F14" s="89">
        <f>[1]!'@CTA[8-2-5-2-2,J,#5]'</f>
        <v>16061.890000000001</v>
      </c>
      <c r="G14" s="89">
        <f>[1]!'@CTA[8-2-7-2-2,F,#5]'</f>
        <v>15528.889999999968</v>
      </c>
      <c r="H14" s="90">
        <f t="shared" si="0"/>
        <v>44682.150000000009</v>
      </c>
    </row>
    <row r="15" spans="1:8" x14ac:dyDescent="0.2">
      <c r="A15" s="28">
        <v>2300</v>
      </c>
      <c r="B15" s="29" t="s">
        <v>81</v>
      </c>
      <c r="C15" s="89">
        <f>[1]!'@CTA[8-2-1-2-3,F,#5]'</f>
        <v>0</v>
      </c>
      <c r="D15" s="89">
        <f>[1]!'@CTA[8-2-3-2-3,F,#5]'</f>
        <v>0</v>
      </c>
      <c r="E15" s="89">
        <f>[1]!'@CTA[8-2-1-2-3,F,#5]'+[1]!'@CTA[8-2-3-2-3,F,#5]'</f>
        <v>0</v>
      </c>
      <c r="F15" s="89">
        <f>[1]!'@CTA[8-2-5-2-3,J,#5]'</f>
        <v>0</v>
      </c>
      <c r="G15" s="89">
        <f>[1]!'@CTA[8-2-7-2-3,F,#5]'</f>
        <v>0</v>
      </c>
      <c r="H15" s="90">
        <f t="shared" si="0"/>
        <v>0</v>
      </c>
    </row>
    <row r="16" spans="1:8" x14ac:dyDescent="0.2">
      <c r="A16" s="28">
        <v>2400</v>
      </c>
      <c r="B16" s="29" t="s">
        <v>82</v>
      </c>
      <c r="C16" s="89">
        <f>[1]!'@CTA[8-2-1-2-4,F,#5]'</f>
        <v>3266572</v>
      </c>
      <c r="D16" s="89">
        <f>[1]!'@CTA[8-2-3-2-4,F,#5]'</f>
        <v>-3800</v>
      </c>
      <c r="E16" s="89">
        <f>[1]!'@CTA[8-2-1-2-4,F,#5]'+[1]!'@CTA[8-2-3-2-4,F,#5]'</f>
        <v>3262772</v>
      </c>
      <c r="F16" s="89">
        <f>[1]!'@CTA[8-2-5-2-4,J,#5]'</f>
        <v>677385.47</v>
      </c>
      <c r="G16" s="89">
        <f>[1]!'@CTA[8-2-7-2-4,F,#5]'</f>
        <v>672045.47000000125</v>
      </c>
      <c r="H16" s="90">
        <f t="shared" si="0"/>
        <v>2585386.5300000003</v>
      </c>
    </row>
    <row r="17" spans="1:8" x14ac:dyDescent="0.2">
      <c r="A17" s="28">
        <v>2500</v>
      </c>
      <c r="B17" s="29" t="s">
        <v>83</v>
      </c>
      <c r="C17" s="89">
        <f>[1]!'@CTA[8-2-1-2-5,F,#5]'</f>
        <v>561905</v>
      </c>
      <c r="D17" s="89">
        <f>[1]!'@CTA[8-2-3-2-5,F,#5]'</f>
        <v>-8.7311491370201111E-11</v>
      </c>
      <c r="E17" s="89">
        <f>[1]!'@CTA[8-2-1-2-5,F,#5]'+[1]!'@CTA[8-2-3-2-5,F,#5]'</f>
        <v>561904.99999999988</v>
      </c>
      <c r="F17" s="89">
        <f>[1]!'@CTA[8-2-5-2-5,J,#5]'</f>
        <v>125237.51000000001</v>
      </c>
      <c r="G17" s="89">
        <f>[1]!'@CTA[8-2-7-2-5,F,#5]'</f>
        <v>125021.99999999988</v>
      </c>
      <c r="H17" s="90">
        <f t="shared" si="0"/>
        <v>436667.48999999987</v>
      </c>
    </row>
    <row r="18" spans="1:8" x14ac:dyDescent="0.2">
      <c r="A18" s="28">
        <v>2600</v>
      </c>
      <c r="B18" s="29" t="s">
        <v>84</v>
      </c>
      <c r="C18" s="89">
        <f>[1]!'@CTA[8-2-1-2-6,F,#5]'</f>
        <v>747675</v>
      </c>
      <c r="D18" s="89">
        <f>[1]!'@CTA[8-2-3-2-6,F,#5]'</f>
        <v>0</v>
      </c>
      <c r="E18" s="89">
        <f>[1]!'@CTA[8-2-1-2-6,F,#5]'+[1]!'@CTA[8-2-3-2-6,F,#5]'</f>
        <v>747675</v>
      </c>
      <c r="F18" s="89">
        <f>[1]!'@CTA[8-2-5-2-6,J,#5]'</f>
        <v>177352.27000000002</v>
      </c>
      <c r="G18" s="89">
        <f>[1]!'@CTA[8-2-7-2-6,F,#5]'</f>
        <v>155146.61999999982</v>
      </c>
      <c r="H18" s="90">
        <f t="shared" si="0"/>
        <v>570322.73</v>
      </c>
    </row>
    <row r="19" spans="1:8" x14ac:dyDescent="0.2">
      <c r="A19" s="28">
        <v>2700</v>
      </c>
      <c r="B19" s="29" t="s">
        <v>85</v>
      </c>
      <c r="C19" s="89">
        <f>[1]!'@CTA[8-2-1-2-7,F,#5]'</f>
        <v>424669</v>
      </c>
      <c r="D19" s="89">
        <f>[1]!'@CTA[8-2-3-2-7,F,#5]'</f>
        <v>-2.9103830456733704E-11</v>
      </c>
      <c r="E19" s="89">
        <f>[1]!'@CTA[8-2-1-2-7,F,#5]'+[1]!'@CTA[8-2-3-2-7,F,#5]'</f>
        <v>424669</v>
      </c>
      <c r="F19" s="89">
        <f>[1]!'@CTA[8-2-5-2-7,J,#5]'</f>
        <v>130730.80000000002</v>
      </c>
      <c r="G19" s="89">
        <f>[1]!'@CTA[8-2-7-2-7,F,#5]'</f>
        <v>130730.79999999999</v>
      </c>
      <c r="H19" s="90">
        <f t="shared" si="0"/>
        <v>293938.19999999995</v>
      </c>
    </row>
    <row r="20" spans="1:8" x14ac:dyDescent="0.2">
      <c r="A20" s="28">
        <v>2800</v>
      </c>
      <c r="B20" s="29" t="s">
        <v>86</v>
      </c>
      <c r="C20" s="89">
        <f>[1]!'@CTA[8-2-1-2-8,F,#5]'</f>
        <v>0</v>
      </c>
      <c r="D20" s="89">
        <f>[1]!'@CTA[8-2-3-2-8,F,#5]'</f>
        <v>0</v>
      </c>
      <c r="E20" s="89">
        <f>[1]!'@CTA[8-2-1-2-8,F,#5]'+[1]!'@CTA[8-2-3-2-8,F,#5]'</f>
        <v>0</v>
      </c>
      <c r="F20" s="89">
        <f>[1]!'@CTA[8-2-5-2-8,J,#5]'</f>
        <v>0</v>
      </c>
      <c r="G20" s="89">
        <f>[1]!'@CTA[8-2-7-2-8,F,#5]'</f>
        <v>0</v>
      </c>
      <c r="H20" s="90">
        <f t="shared" si="0"/>
        <v>0</v>
      </c>
    </row>
    <row r="21" spans="1:8" x14ac:dyDescent="0.2">
      <c r="A21" s="28">
        <v>2900</v>
      </c>
      <c r="B21" s="29" t="s">
        <v>87</v>
      </c>
      <c r="C21" s="89">
        <f>[1]!'@CTA[8-2-1-2-9,F,#5]'</f>
        <v>135195</v>
      </c>
      <c r="D21" s="89">
        <f>[1]!'@CTA[8-2-3-2-9,F,#5]'</f>
        <v>7.2759576141834259E-12</v>
      </c>
      <c r="E21" s="89">
        <f>[1]!'@CTA[8-2-1-2-9,F,#5]'+[1]!'@CTA[8-2-3-2-9,F,#5]'</f>
        <v>135195</v>
      </c>
      <c r="F21" s="89">
        <f>[1]!'@CTA[8-2-5-2-9,J,#5]'</f>
        <v>22553.83</v>
      </c>
      <c r="G21" s="89">
        <f>[1]!'@CTA[8-2-7-2-9,F,#5]'</f>
        <v>20946.610000000015</v>
      </c>
      <c r="H21" s="90">
        <f t="shared" si="0"/>
        <v>112641.17</v>
      </c>
    </row>
    <row r="22" spans="1:8" x14ac:dyDescent="0.2">
      <c r="A22" s="28">
        <v>3000</v>
      </c>
      <c r="B22" s="29" t="s">
        <v>88</v>
      </c>
      <c r="C22" s="87">
        <f>[1]!'@CTA[8-2-1-3,F,#4]'</f>
        <v>15671932</v>
      </c>
      <c r="D22" s="87">
        <f>[1]!'@CTA[8-2-3-3,F,#4]'</f>
        <v>-31046.559999998142</v>
      </c>
      <c r="E22" s="87">
        <f>[1]!'@CTA[8-2-1-3,F,#4]'+[1]!'@CTA[8-2-3-3,F,#4]'</f>
        <v>15640885.440000001</v>
      </c>
      <c r="F22" s="87">
        <f>[1]!'@CTA[8-2-5-3,J,#4]'</f>
        <v>4423897.8699999992</v>
      </c>
      <c r="G22" s="87">
        <f>[1]!'@CTA[8-2-7-3,F,#4]'</f>
        <v>4101090.2899999926</v>
      </c>
      <c r="H22" s="88">
        <f t="shared" si="0"/>
        <v>11216987.570000002</v>
      </c>
    </row>
    <row r="23" spans="1:8" x14ac:dyDescent="0.2">
      <c r="A23" s="28">
        <v>3100</v>
      </c>
      <c r="B23" s="29" t="s">
        <v>89</v>
      </c>
      <c r="C23" s="89">
        <f>[1]!'@CTA[8-2-1-3-1,F,#5]'</f>
        <v>6840651</v>
      </c>
      <c r="D23" s="89">
        <f>[1]!'@CTA[8-2-3-3-1,F,#5]'</f>
        <v>8508.4400000001751</v>
      </c>
      <c r="E23" s="89">
        <f>[1]!'@CTA[8-2-1-3-1,F,#5]'+[1]!'@CTA[8-2-3-3-1,F,#5]'</f>
        <v>6849159.4400000004</v>
      </c>
      <c r="F23" s="89">
        <f>[1]!'@CTA[8-2-5-3-1,J,#5]'</f>
        <v>2018472.0299999989</v>
      </c>
      <c r="G23" s="89">
        <f>[1]!'@CTA[8-2-7-3-1,F,#5]'</f>
        <v>1813066.9699999993</v>
      </c>
      <c r="H23" s="90">
        <f t="shared" si="0"/>
        <v>4830687.410000002</v>
      </c>
    </row>
    <row r="24" spans="1:8" x14ac:dyDescent="0.2">
      <c r="A24" s="28">
        <v>3200</v>
      </c>
      <c r="B24" s="29" t="s">
        <v>90</v>
      </c>
      <c r="C24" s="89">
        <f>[1]!'@CTA[8-2-1-3-2,F,#5]'</f>
        <v>29200</v>
      </c>
      <c r="D24" s="89">
        <f>[1]!'@CTA[8-2-3-3-2,F,#5]'</f>
        <v>0</v>
      </c>
      <c r="E24" s="89">
        <f>[1]!'@CTA[8-2-1-3-2,F,#5]'+[1]!'@CTA[8-2-3-3-2,F,#5]'</f>
        <v>29200</v>
      </c>
      <c r="F24" s="89">
        <f>[1]!'@CTA[8-2-5-3-2,J,#5]'</f>
        <v>953.21000000000015</v>
      </c>
      <c r="G24" s="89">
        <f>[1]!'@CTA[8-2-7-3-2,F,#5]'</f>
        <v>953.21000000000458</v>
      </c>
      <c r="H24" s="90">
        <f t="shared" si="0"/>
        <v>28246.79</v>
      </c>
    </row>
    <row r="25" spans="1:8" x14ac:dyDescent="0.2">
      <c r="A25" s="28">
        <v>3300</v>
      </c>
      <c r="B25" s="29" t="s">
        <v>91</v>
      </c>
      <c r="C25" s="89">
        <f>[1]!'@CTA[8-2-1-3-3,F,#5]'</f>
        <v>3277512</v>
      </c>
      <c r="D25" s="89">
        <f>[1]!'@CTA[8-2-3-3-3,F,#5]'</f>
        <v>9.3132257461547852E-10</v>
      </c>
      <c r="E25" s="89">
        <f>[1]!'@CTA[8-2-1-3-3,F,#5]'+[1]!'@CTA[8-2-3-3-3,F,#5]'</f>
        <v>3277512.0000000009</v>
      </c>
      <c r="F25" s="89">
        <f>[1]!'@CTA[8-2-5-3-3,J,#5]'</f>
        <v>728096.87</v>
      </c>
      <c r="G25" s="89">
        <f>[1]!'@CTA[8-2-7-3-3,F,#5]'</f>
        <v>695313.15000000037</v>
      </c>
      <c r="H25" s="90">
        <f t="shared" si="0"/>
        <v>2549415.1300000008</v>
      </c>
    </row>
    <row r="26" spans="1:8" x14ac:dyDescent="0.2">
      <c r="A26" s="28">
        <v>3400</v>
      </c>
      <c r="B26" s="29" t="s">
        <v>92</v>
      </c>
      <c r="C26" s="89">
        <f>[1]!'@CTA[8-2-1-3-4,F,#5]'</f>
        <v>549939</v>
      </c>
      <c r="D26" s="89">
        <f>[1]!'@CTA[8-2-3-3-4,F,#5]'</f>
        <v>-1.4551915228366852E-11</v>
      </c>
      <c r="E26" s="89">
        <f>[1]!'@CTA[8-2-1-3-4,F,#5]'+[1]!'@CTA[8-2-3-3-4,F,#5]'</f>
        <v>549939</v>
      </c>
      <c r="F26" s="89">
        <f>[1]!'@CTA[8-2-5-3-4,J,#5]'</f>
        <v>108898.89</v>
      </c>
      <c r="G26" s="89">
        <f>[1]!'@CTA[8-2-7-3-4,F,#5]'</f>
        <v>108885.10000000022</v>
      </c>
      <c r="H26" s="90">
        <f t="shared" si="0"/>
        <v>441040.11</v>
      </c>
    </row>
    <row r="27" spans="1:8" x14ac:dyDescent="0.2">
      <c r="A27" s="28">
        <v>3500</v>
      </c>
      <c r="B27" s="29" t="s">
        <v>93</v>
      </c>
      <c r="C27" s="89">
        <f>[1]!'@CTA[8-2-1-3-5,F,#5]'</f>
        <v>2142328</v>
      </c>
      <c r="D27" s="89">
        <f>[1]!'@CTA[8-2-3-3-5,F,#5]'</f>
        <v>1.1641532182693481E-10</v>
      </c>
      <c r="E27" s="89">
        <f>[1]!'@CTA[8-2-1-3-5,F,#5]'+[1]!'@CTA[8-2-3-3-5,F,#5]'</f>
        <v>2142328</v>
      </c>
      <c r="F27" s="89">
        <f>[1]!'@CTA[8-2-5-3-5,J,#5]'</f>
        <v>975332.8899999999</v>
      </c>
      <c r="G27" s="89">
        <f>[1]!'@CTA[8-2-7-3-5,F,#5]'</f>
        <v>910610.4999999986</v>
      </c>
      <c r="H27" s="90">
        <f t="shared" si="0"/>
        <v>1166995.1100000001</v>
      </c>
    </row>
    <row r="28" spans="1:8" x14ac:dyDescent="0.2">
      <c r="A28" s="28">
        <v>3600</v>
      </c>
      <c r="B28" s="29" t="s">
        <v>94</v>
      </c>
      <c r="C28" s="89">
        <f>[1]!'@CTA[8-2-1-3-6,F,#5]'</f>
        <v>151000</v>
      </c>
      <c r="D28" s="89">
        <f>[1]!'@CTA[8-2-3-3-6,F,#5]'</f>
        <v>-70586</v>
      </c>
      <c r="E28" s="89">
        <f>[1]!'@CTA[8-2-1-3-6,F,#5]'+[1]!'@CTA[8-2-3-3-6,F,#5]'</f>
        <v>80414</v>
      </c>
      <c r="F28" s="89">
        <f>[1]!'@CTA[8-2-5-3-6,J,#5]'</f>
        <v>15259.35</v>
      </c>
      <c r="G28" s="89">
        <f>[1]!'@CTA[8-2-7-3-6,F,#5]'</f>
        <v>15259.349999999979</v>
      </c>
      <c r="H28" s="90">
        <f t="shared" si="0"/>
        <v>65154.65</v>
      </c>
    </row>
    <row r="29" spans="1:8" x14ac:dyDescent="0.2">
      <c r="A29" s="28">
        <v>3700</v>
      </c>
      <c r="B29" s="29" t="s">
        <v>95</v>
      </c>
      <c r="C29" s="89">
        <f>[1]!'@CTA[8-2-1-3-7,F,#5]'</f>
        <v>39600</v>
      </c>
      <c r="D29" s="89">
        <f>[1]!'@CTA[8-2-3-3-7,F,#5]'</f>
        <v>7.2759576141834259E-12</v>
      </c>
      <c r="E29" s="89">
        <f>[1]!'@CTA[8-2-1-3-7,F,#5]'+[1]!'@CTA[8-2-3-3-7,F,#5]'</f>
        <v>39600.000000000007</v>
      </c>
      <c r="F29" s="89">
        <f>[1]!'@CTA[8-2-5-3-7,J,#5]'</f>
        <v>1603.3700000000001</v>
      </c>
      <c r="G29" s="89">
        <f>[1]!'@CTA[8-2-7-3-7,F,#5]'</f>
        <v>1603.3700000000006</v>
      </c>
      <c r="H29" s="90">
        <f t="shared" si="0"/>
        <v>37996.630000000005</v>
      </c>
    </row>
    <row r="30" spans="1:8" x14ac:dyDescent="0.2">
      <c r="A30" s="28">
        <v>3800</v>
      </c>
      <c r="B30" s="29" t="s">
        <v>96</v>
      </c>
      <c r="C30" s="89">
        <f>[1]!'@CTA[8-2-1-3-8,F,#5]'</f>
        <v>178000</v>
      </c>
      <c r="D30" s="89">
        <f>[1]!'@CTA[8-2-3-3-8,F,#5]'</f>
        <v>2.9103830456733704E-11</v>
      </c>
      <c r="E30" s="89">
        <f>[1]!'@CTA[8-2-1-3-8,F,#5]'+[1]!'@CTA[8-2-3-3-8,F,#5]'</f>
        <v>178000.00000000003</v>
      </c>
      <c r="F30" s="89">
        <f>[1]!'@CTA[8-2-5-3-8,J,#5]'</f>
        <v>41463.430000000008</v>
      </c>
      <c r="G30" s="89">
        <f>[1]!'@CTA[8-2-7-3-8,F,#5]'</f>
        <v>41463.430000000058</v>
      </c>
      <c r="H30" s="90">
        <f t="shared" si="0"/>
        <v>136536.57</v>
      </c>
    </row>
    <row r="31" spans="1:8" x14ac:dyDescent="0.2">
      <c r="A31" s="28">
        <v>3900</v>
      </c>
      <c r="B31" s="29" t="s">
        <v>97</v>
      </c>
      <c r="C31" s="89">
        <f>[1]!'@CTA[8-2-1-3-9,F,#5]'</f>
        <v>2463702</v>
      </c>
      <c r="D31" s="89">
        <f>[1]!'@CTA[8-2-3-3-9,F,#5]'</f>
        <v>31031.000000000291</v>
      </c>
      <c r="E31" s="89">
        <f>[1]!'@CTA[8-2-1-3-9,F,#5]'+[1]!'@CTA[8-2-3-3-9,F,#5]'</f>
        <v>2494733.0000000005</v>
      </c>
      <c r="F31" s="89">
        <f>[1]!'@CTA[8-2-5-3-9,J,#5]'</f>
        <v>533817.82999999996</v>
      </c>
      <c r="G31" s="89">
        <f>[1]!'@CTA[8-2-7-3-9,F,#5]'</f>
        <v>513935.20999999996</v>
      </c>
      <c r="H31" s="90">
        <f t="shared" si="0"/>
        <v>1960915.1700000004</v>
      </c>
    </row>
    <row r="32" spans="1:8" x14ac:dyDescent="0.2">
      <c r="A32" s="28">
        <v>4000</v>
      </c>
      <c r="B32" s="29" t="s">
        <v>98</v>
      </c>
      <c r="C32" s="87">
        <f>[1]!'@CTA[8-2-1-4,F,#4]'</f>
        <v>0</v>
      </c>
      <c r="D32" s="87">
        <f>[1]!'@CTA[8-2-3-4,F,#4]'</f>
        <v>0</v>
      </c>
      <c r="E32" s="87">
        <f>[1]!'@CTA[8-2-1-4,F,#4]'+[1]!'@CTA[8-2-3-4,F,#4]'</f>
        <v>0</v>
      </c>
      <c r="F32" s="87">
        <f>[1]!'@CTA[8-2-5-4,J,#4]'</f>
        <v>0</v>
      </c>
      <c r="G32" s="87">
        <f>[1]!'@CTA[8-2-7-4,F,#4]'</f>
        <v>0</v>
      </c>
      <c r="H32" s="88">
        <f t="shared" si="0"/>
        <v>0</v>
      </c>
    </row>
    <row r="33" spans="1:8" x14ac:dyDescent="0.2">
      <c r="A33" s="28">
        <v>4100</v>
      </c>
      <c r="B33" s="29" t="s">
        <v>99</v>
      </c>
      <c r="C33" s="89">
        <f>[1]!'@CTA[8-2-1-4-1,F,#5]'</f>
        <v>0</v>
      </c>
      <c r="D33" s="89">
        <f>[1]!'@CTA[8-2-3-4-1,F,#5]'</f>
        <v>0</v>
      </c>
      <c r="E33" s="89">
        <f>[1]!'@CTA[8-2-1-4-1,F,#5]'+[1]!'@CTA[8-2-3-4-1,F,#5]'</f>
        <v>0</v>
      </c>
      <c r="F33" s="89">
        <f>[1]!'@CTA[8-2-5-4-1,J,#5]'</f>
        <v>0</v>
      </c>
      <c r="G33" s="89">
        <f>[1]!'@CTA[8-2-7-4-1,F,#5]'</f>
        <v>0</v>
      </c>
      <c r="H33" s="90">
        <f t="shared" si="0"/>
        <v>0</v>
      </c>
    </row>
    <row r="34" spans="1:8" x14ac:dyDescent="0.2">
      <c r="A34" s="28">
        <v>4200</v>
      </c>
      <c r="B34" s="29" t="s">
        <v>100</v>
      </c>
      <c r="C34" s="89">
        <f>[1]!'@CTA[8-2-1-4-2,F,#5]'</f>
        <v>0</v>
      </c>
      <c r="D34" s="89">
        <f>[1]!'@CTA[8-2-3-4-2,F,#5]'</f>
        <v>0</v>
      </c>
      <c r="E34" s="89">
        <f>[1]!'@CTA[8-2-1-4-2,F,#5]'+[1]!'@CTA[8-2-3-4-2,F,#5]'</f>
        <v>0</v>
      </c>
      <c r="F34" s="89">
        <f>[1]!'@CTA[8-2-5-4-2,J,#5]'</f>
        <v>0</v>
      </c>
      <c r="G34" s="89">
        <f>[1]!'@CTA[8-2-7-4-2,F,#5]'</f>
        <v>0</v>
      </c>
      <c r="H34" s="90">
        <f t="shared" si="0"/>
        <v>0</v>
      </c>
    </row>
    <row r="35" spans="1:8" x14ac:dyDescent="0.2">
      <c r="A35" s="28">
        <v>4300</v>
      </c>
      <c r="B35" s="29" t="s">
        <v>101</v>
      </c>
      <c r="C35" s="89">
        <f>[1]!'@CTA[8-2-1-4-3,F,#5]'</f>
        <v>0</v>
      </c>
      <c r="D35" s="89">
        <f>[1]!'@CTA[8-2-3-4-3,F,#5]'</f>
        <v>0</v>
      </c>
      <c r="E35" s="89">
        <f>[1]!'@CTA[8-2-1-4-3,F,#5]'+[1]!'@CTA[8-2-3-4-3,F,#5]'</f>
        <v>0</v>
      </c>
      <c r="F35" s="89">
        <f>[1]!'@CTA[8-2-5-4-3,J,#5]'</f>
        <v>0</v>
      </c>
      <c r="G35" s="89">
        <f>[1]!'@CTA[8-2-7-4-3,F,#5]'</f>
        <v>0</v>
      </c>
      <c r="H35" s="90">
        <f t="shared" si="0"/>
        <v>0</v>
      </c>
    </row>
    <row r="36" spans="1:8" x14ac:dyDescent="0.2">
      <c r="A36" s="28">
        <v>4400</v>
      </c>
      <c r="B36" s="29" t="s">
        <v>102</v>
      </c>
      <c r="C36" s="89">
        <f>[1]!'@CTA[8-2-1-4-4,F,#5]'</f>
        <v>0</v>
      </c>
      <c r="D36" s="89">
        <f>[1]!'@CTA[8-2-3-4-4,F,#5]'</f>
        <v>0</v>
      </c>
      <c r="E36" s="89">
        <f>[1]!'@CTA[8-2-1-4-4,F,#5]'+[1]!'@CTA[8-2-3-4-4,F,#5]'</f>
        <v>0</v>
      </c>
      <c r="F36" s="89">
        <f>[1]!'@CTA[8-2-5-4-4,J,#5]'</f>
        <v>0</v>
      </c>
      <c r="G36" s="89">
        <f>[1]!'@CTA[8-2-7-4-4,F,#5]'</f>
        <v>0</v>
      </c>
      <c r="H36" s="90">
        <f t="shared" si="0"/>
        <v>0</v>
      </c>
    </row>
    <row r="37" spans="1:8" x14ac:dyDescent="0.2">
      <c r="A37" s="28">
        <v>4500</v>
      </c>
      <c r="B37" s="29" t="s">
        <v>103</v>
      </c>
      <c r="C37" s="89">
        <f>[1]!'@CTA[8-2-1-4-5,F,#5]'</f>
        <v>0</v>
      </c>
      <c r="D37" s="89">
        <f>[1]!'@CTA[8-2-3-4-5,F,#5]'</f>
        <v>0</v>
      </c>
      <c r="E37" s="89">
        <f>[1]!'@CTA[8-2-1-4-5,F,#5]'+[1]!'@CTA[8-2-3-4-5,F,#5]'</f>
        <v>0</v>
      </c>
      <c r="F37" s="89">
        <f>[1]!'@CTA[8-2-5-4-5,J,#5]'</f>
        <v>0</v>
      </c>
      <c r="G37" s="89">
        <f>[1]!'@CTA[8-2-7-4-5,F,#5]'</f>
        <v>0</v>
      </c>
      <c r="H37" s="90">
        <f t="shared" si="0"/>
        <v>0</v>
      </c>
    </row>
    <row r="38" spans="1:8" x14ac:dyDescent="0.2">
      <c r="A38" s="28">
        <v>4600</v>
      </c>
      <c r="B38" s="29" t="s">
        <v>104</v>
      </c>
      <c r="C38" s="89">
        <f>[1]!'@CTA[8-2-1-4-6,F,#5]'</f>
        <v>0</v>
      </c>
      <c r="D38" s="89">
        <f>[1]!'@CTA[8-2-3-4-6,F,#5]'</f>
        <v>0</v>
      </c>
      <c r="E38" s="89">
        <f>[1]!'@CTA[8-2-1-4-6,F,#5]'+[1]!'@CTA[8-2-3-4-6,F,#5]'</f>
        <v>0</v>
      </c>
      <c r="F38" s="89">
        <f>[1]!'@CTA[8-2-5-4-6,J,#5]'</f>
        <v>0</v>
      </c>
      <c r="G38" s="89">
        <f>[1]!'@CTA[8-2-7-4-6,F,#5]'</f>
        <v>0</v>
      </c>
      <c r="H38" s="90">
        <f t="shared" si="0"/>
        <v>0</v>
      </c>
    </row>
    <row r="39" spans="1:8" x14ac:dyDescent="0.2">
      <c r="A39" s="28">
        <v>4700</v>
      </c>
      <c r="B39" s="29" t="s">
        <v>105</v>
      </c>
      <c r="C39" s="89">
        <f>[1]!'@CTA[8-2-1-4-7,F,#5]'</f>
        <v>0</v>
      </c>
      <c r="D39" s="89">
        <f>[1]!'@CTA[8-2-3-4-7,F,#5]'</f>
        <v>0</v>
      </c>
      <c r="E39" s="89">
        <f>[1]!'@CTA[8-2-1-4-7,F,#5]'+[1]!'@CTA[8-2-3-4-7,F,#5]'</f>
        <v>0</v>
      </c>
      <c r="F39" s="89">
        <f>[1]!'@CTA[8-2-5-4-7,J,#5]'</f>
        <v>0</v>
      </c>
      <c r="G39" s="89">
        <f>[1]!'@CTA[8-2-7-4-7,F,#5]'</f>
        <v>0</v>
      </c>
      <c r="H39" s="90">
        <f t="shared" si="0"/>
        <v>0</v>
      </c>
    </row>
    <row r="40" spans="1:8" x14ac:dyDescent="0.2">
      <c r="A40" s="28">
        <v>4800</v>
      </c>
      <c r="B40" s="29" t="s">
        <v>106</v>
      </c>
      <c r="C40" s="89">
        <f>[1]!'@CTA[8-2-1-4-8,F,#5]'</f>
        <v>0</v>
      </c>
      <c r="D40" s="89">
        <f>[1]!'@CTA[8-2-3-4-8,F,#5]'</f>
        <v>0</v>
      </c>
      <c r="E40" s="89">
        <f>[1]!'@CTA[8-2-1-4-8,F,#5]'+[1]!'@CTA[8-2-3-4-8,F,#5]'</f>
        <v>0</v>
      </c>
      <c r="F40" s="89">
        <f>[1]!'@CTA[8-2-5-4-8,J,#5]'</f>
        <v>0</v>
      </c>
      <c r="G40" s="89">
        <f>[1]!'@CTA[8-2-7-4-8,F,#5]'</f>
        <v>0</v>
      </c>
      <c r="H40" s="90">
        <f t="shared" si="0"/>
        <v>0</v>
      </c>
    </row>
    <row r="41" spans="1:8" x14ac:dyDescent="0.2">
      <c r="A41" s="28">
        <v>4900</v>
      </c>
      <c r="B41" s="29" t="s">
        <v>107</v>
      </c>
      <c r="C41" s="89">
        <f>[1]!'@CTA[8-2-1-4-9,F,#5]'</f>
        <v>0</v>
      </c>
      <c r="D41" s="89">
        <f>[1]!'@CTA[8-2-3-4-9,F,#5]'</f>
        <v>0</v>
      </c>
      <c r="E41" s="89">
        <f>[1]!'@CTA[8-2-1-4-9,F,#5]'+[1]!'@CTA[8-2-3-4-9,F,#5]'</f>
        <v>0</v>
      </c>
      <c r="F41" s="89">
        <f>[1]!'@CTA[8-2-5-4-9,J,#5]'</f>
        <v>0</v>
      </c>
      <c r="G41" s="89">
        <f>[1]!'@CTA[8-2-7-4-9,F,#5]'</f>
        <v>0</v>
      </c>
      <c r="H41" s="90">
        <f t="shared" si="0"/>
        <v>0</v>
      </c>
    </row>
    <row r="42" spans="1:8" x14ac:dyDescent="0.2">
      <c r="A42" s="28">
        <v>5000</v>
      </c>
      <c r="B42" s="29" t="s">
        <v>108</v>
      </c>
      <c r="C42" s="89">
        <f>[1]!'@CTA[8-2-1-5,F,#4]'</f>
        <v>1407966</v>
      </c>
      <c r="D42" s="89">
        <f>[1]!'@CTA[8-2-3-5,F,#4]'</f>
        <v>-229414.0000000007</v>
      </c>
      <c r="E42" s="89">
        <f>[1]!'@CTA[8-2-1-5,F,#4]'+[1]!'@CTA[8-2-3-5,F,#4]'</f>
        <v>1178551.9999999993</v>
      </c>
      <c r="F42" s="89">
        <f>[1]!'@CTA[8-2-5-5,J,#4]'</f>
        <v>55682.479999999996</v>
      </c>
      <c r="G42" s="89">
        <f>[1]!'@CTA[8-2-7-5,F,#4]'</f>
        <v>55682.480000000243</v>
      </c>
      <c r="H42" s="90">
        <f t="shared" si="0"/>
        <v>1122869.5199999993</v>
      </c>
    </row>
    <row r="43" spans="1:8" x14ac:dyDescent="0.2">
      <c r="A43" s="28">
        <v>5100</v>
      </c>
      <c r="B43" s="29" t="s">
        <v>109</v>
      </c>
      <c r="C43" s="89">
        <f>[1]!'@CTA[8-2-1-5-1,F,#5]'</f>
        <v>479757</v>
      </c>
      <c r="D43" s="89">
        <f>[1]!'@CTA[8-2-3-5-1,F,#5]'</f>
        <v>-238683</v>
      </c>
      <c r="E43" s="89">
        <f>[1]!'@CTA[8-2-1-5-1,F,#5]'+[1]!'@CTA[8-2-3-5-1,F,#5]'</f>
        <v>241074</v>
      </c>
      <c r="F43" s="89">
        <f>[1]!'@CTA[8-2-5-5-1,J,#5]'</f>
        <v>8864.64</v>
      </c>
      <c r="G43" s="89">
        <f>[1]!'@CTA[8-2-7-5-1,F,#5]'</f>
        <v>8864.6400000000867</v>
      </c>
      <c r="H43" s="90">
        <f t="shared" si="0"/>
        <v>232209.36</v>
      </c>
    </row>
    <row r="44" spans="1:8" x14ac:dyDescent="0.2">
      <c r="A44" s="28">
        <v>5200</v>
      </c>
      <c r="B44" s="29" t="s">
        <v>110</v>
      </c>
      <c r="C44" s="89">
        <f>[1]!'@CTA[8-2-1-5-2,F,#5]'</f>
        <v>4400</v>
      </c>
      <c r="D44" s="89">
        <f>[1]!'@CTA[8-2-3-5-2,F,#5]'</f>
        <v>-1.8189894035458565E-12</v>
      </c>
      <c r="E44" s="89">
        <f>[1]!'@CTA[8-2-1-5-2,F,#5]'+[1]!'@CTA[8-2-3-5-2,F,#5]'</f>
        <v>4399.9999999999982</v>
      </c>
      <c r="F44" s="89">
        <f>[1]!'@CTA[8-2-5-5-2,J,#5]'</f>
        <v>24059.22</v>
      </c>
      <c r="G44" s="89">
        <f>[1]!'@CTA[8-2-7-5-2,F,#5]'</f>
        <v>24059.22</v>
      </c>
      <c r="H44" s="90">
        <f t="shared" si="0"/>
        <v>-19659.22</v>
      </c>
    </row>
    <row r="45" spans="1:8" x14ac:dyDescent="0.2">
      <c r="A45" s="28">
        <v>5300</v>
      </c>
      <c r="B45" s="29" t="s">
        <v>111</v>
      </c>
      <c r="C45" s="89">
        <f>[1]!'@CTA[8-2-1-5-3,F,#5]'</f>
        <v>0</v>
      </c>
      <c r="D45" s="89">
        <f>[1]!'@CTA[8-2-3-5-3,F,#5]'</f>
        <v>0</v>
      </c>
      <c r="E45" s="89">
        <f>[1]!'@CTA[8-2-1-5-3,F,#5]'+[1]!'@CTA[8-2-3-5-3,F,#5]'</f>
        <v>0</v>
      </c>
      <c r="F45" s="89">
        <f>[1]!'@CTA[8-2-5-5-3,J,#5]'</f>
        <v>0</v>
      </c>
      <c r="G45" s="89">
        <f>[1]!'@CTA[8-2-7-5-3,F,#5]'</f>
        <v>0</v>
      </c>
      <c r="H45" s="90">
        <f t="shared" si="0"/>
        <v>0</v>
      </c>
    </row>
    <row r="46" spans="1:8" x14ac:dyDescent="0.2">
      <c r="A46" s="28">
        <v>5400</v>
      </c>
      <c r="B46" s="29" t="s">
        <v>112</v>
      </c>
      <c r="C46" s="89">
        <f>[1]!'@CTA[8-2-1-5-4,F,#5]'</f>
        <v>23400</v>
      </c>
      <c r="D46" s="89">
        <f>[1]!'@CTA[8-2-3-5-4,F,#5]'</f>
        <v>0</v>
      </c>
      <c r="E46" s="89">
        <f>[1]!'@CTA[8-2-1-5-4,F,#5]'+[1]!'@CTA[8-2-3-5-4,F,#5]'</f>
        <v>23400</v>
      </c>
      <c r="F46" s="89">
        <f>[1]!'@CTA[8-2-5-5-4,J,#5]'</f>
        <v>22758.62</v>
      </c>
      <c r="G46" s="89">
        <f>[1]!'@CTA[8-2-7-5-4,F,#5]'</f>
        <v>22758.620000000003</v>
      </c>
      <c r="H46" s="90">
        <f t="shared" si="0"/>
        <v>641.38000000000102</v>
      </c>
    </row>
    <row r="47" spans="1:8" x14ac:dyDescent="0.2">
      <c r="A47" s="28">
        <v>5500</v>
      </c>
      <c r="B47" s="29" t="s">
        <v>113</v>
      </c>
      <c r="C47" s="89">
        <f>[1]!'@CTA[8-2-1-5-5,F,#5]'</f>
        <v>0</v>
      </c>
      <c r="D47" s="89">
        <f>[1]!'@CTA[8-2-3-5-5,F,#5]'</f>
        <v>0</v>
      </c>
      <c r="E47" s="89">
        <f>[1]!'@CTA[8-2-1-5-5,F,#5]'+[1]!'@CTA[8-2-3-5-5,F,#5]'</f>
        <v>0</v>
      </c>
      <c r="F47" s="89">
        <f>[1]!'@CTA[8-2-5-5-5,J,#5]'</f>
        <v>0</v>
      </c>
      <c r="G47" s="89">
        <f>[1]!'@CTA[8-2-7-5-5,F,#5]'</f>
        <v>0</v>
      </c>
      <c r="H47" s="90">
        <f t="shared" si="0"/>
        <v>0</v>
      </c>
    </row>
    <row r="48" spans="1:8" x14ac:dyDescent="0.2">
      <c r="A48" s="28">
        <v>5600</v>
      </c>
      <c r="B48" s="29" t="s">
        <v>114</v>
      </c>
      <c r="C48" s="89">
        <f>[1]!'@CTA[8-2-1-5-6,F,#5]'</f>
        <v>87891</v>
      </c>
      <c r="D48" s="89">
        <f>[1]!'@CTA[8-2-3-5-6,F,#5]'</f>
        <v>9268.9999999999418</v>
      </c>
      <c r="E48" s="89">
        <f>[1]!'@CTA[8-2-1-5-6,F,#5]'+[1]!'@CTA[8-2-3-5-6,F,#5]'</f>
        <v>97159.999999999942</v>
      </c>
      <c r="F48" s="89">
        <f>[1]!'@CTA[8-2-5-5-6,J,#5]'</f>
        <v>0</v>
      </c>
      <c r="G48" s="89">
        <f>[1]!'@CTA[8-2-7-5-6,F,#5]'</f>
        <v>0</v>
      </c>
      <c r="H48" s="90">
        <f t="shared" si="0"/>
        <v>97159.999999999942</v>
      </c>
    </row>
    <row r="49" spans="1:8" x14ac:dyDescent="0.2">
      <c r="A49" s="28">
        <v>5700</v>
      </c>
      <c r="B49" s="29" t="s">
        <v>115</v>
      </c>
      <c r="C49" s="89">
        <f>[1]!'@CTA[8-2-1-5-7,F,#5]'</f>
        <v>0</v>
      </c>
      <c r="D49" s="89">
        <f>[1]!'@CTA[8-2-3-5-7,F,#5]'</f>
        <v>0</v>
      </c>
      <c r="E49" s="89">
        <f>[1]!'@CTA[8-2-1-5-7,F,#5]'+[1]!'@CTA[8-2-3-5-7,F,#5]'</f>
        <v>0</v>
      </c>
      <c r="F49" s="89">
        <f>[1]!'@CTA[8-2-5-5-7,J,#5]'</f>
        <v>0</v>
      </c>
      <c r="G49" s="89">
        <f>[1]!'@CTA[8-2-7-5-7,F,#5]'</f>
        <v>0</v>
      </c>
      <c r="H49" s="90">
        <f t="shared" si="0"/>
        <v>0</v>
      </c>
    </row>
    <row r="50" spans="1:8" x14ac:dyDescent="0.2">
      <c r="A50" s="28">
        <v>5800</v>
      </c>
      <c r="B50" s="29" t="s">
        <v>116</v>
      </c>
      <c r="C50" s="89">
        <f>[1]!'@CTA[8-2-1-5-8,F,#5]'</f>
        <v>0</v>
      </c>
      <c r="D50" s="89">
        <f>[1]!'@CTA[8-2-3-5-8,F,#5]'</f>
        <v>0</v>
      </c>
      <c r="E50" s="89">
        <f>[1]!'@CTA[8-2-1-5-8,F,#5]'+[1]!'@CTA[8-2-3-5-8,F,#5]'</f>
        <v>0</v>
      </c>
      <c r="F50" s="89">
        <f>[1]!'@CTA[8-2-5-5-8,J,#5]'</f>
        <v>0</v>
      </c>
      <c r="G50" s="89">
        <f>[1]!'@CTA[8-2-7-5-8,F,#5]'</f>
        <v>0</v>
      </c>
      <c r="H50" s="90">
        <f t="shared" si="0"/>
        <v>0</v>
      </c>
    </row>
    <row r="51" spans="1:8" x14ac:dyDescent="0.2">
      <c r="A51" s="28">
        <v>5900</v>
      </c>
      <c r="B51" s="29" t="s">
        <v>117</v>
      </c>
      <c r="C51" s="89">
        <f>[1]!'@CTA[8-2-1-5-9,F,#5]'</f>
        <v>812518</v>
      </c>
      <c r="D51" s="89">
        <f>[1]!'@CTA[8-2-3-5-9,F,#5]'</f>
        <v>-4.6566128730773926E-10</v>
      </c>
      <c r="E51" s="89">
        <f>[1]!'@CTA[8-2-1-5-9,F,#5]'+[1]!'@CTA[8-2-3-5-9,F,#5]'</f>
        <v>812517.99999999953</v>
      </c>
      <c r="F51" s="89">
        <f>[1]!'@CTA[8-2-5-5-9,J,#5]'</f>
        <v>0</v>
      </c>
      <c r="G51" s="89">
        <f>[1]!'@CTA[8-2-7-5-9,F,#5]'</f>
        <v>7.2759576141834259E-12</v>
      </c>
      <c r="H51" s="90">
        <f t="shared" si="0"/>
        <v>812517.99999999953</v>
      </c>
    </row>
    <row r="52" spans="1:8" x14ac:dyDescent="0.2">
      <c r="A52" s="28">
        <v>6000</v>
      </c>
      <c r="B52" s="29" t="s">
        <v>140</v>
      </c>
      <c r="C52" s="87">
        <f>[1]!'@CTA[8-2-1-6,F,#4]'</f>
        <v>12210011</v>
      </c>
      <c r="D52" s="87">
        <f>[1]!'@CTA[8-2-3-6,F,#4]'</f>
        <v>7403590.0100000016</v>
      </c>
      <c r="E52" s="87">
        <f>[1]!'@CTA[8-2-1-6,F,#4]'+[1]!'@CTA[8-2-3-6,F,#4]'</f>
        <v>19613601.010000002</v>
      </c>
      <c r="F52" s="87">
        <f>[1]!'@CTA[8-2-5-6,J,#4]'</f>
        <v>2474305.5999999996</v>
      </c>
      <c r="G52" s="87">
        <f>[1]!'@CTA[8-2-7-6,F,#4]'</f>
        <v>2474305.5999999996</v>
      </c>
      <c r="H52" s="88">
        <f t="shared" si="0"/>
        <v>17139295.410000004</v>
      </c>
    </row>
    <row r="53" spans="1:8" x14ac:dyDescent="0.2">
      <c r="A53" s="28">
        <v>6100</v>
      </c>
      <c r="B53" s="29" t="s">
        <v>118</v>
      </c>
      <c r="C53" s="89">
        <f>[1]!'@CTA[8-2-1-6-1,F,#5]'</f>
        <v>11790011</v>
      </c>
      <c r="D53" s="89">
        <f>[1]!'@CTA[8-2-3-6-1,F,#5]'</f>
        <v>7403590.0100000016</v>
      </c>
      <c r="E53" s="89">
        <f>[1]!'@CTA[8-2-1-6-1,F,#5]'+[1]!'@CTA[8-2-3-6-1,F,#5]'</f>
        <v>19193601.010000002</v>
      </c>
      <c r="F53" s="89">
        <f>[1]!'@CTA[8-2-5-6-1,J,#5]'</f>
        <v>2474305.5999999996</v>
      </c>
      <c r="G53" s="89">
        <f>[1]!'@CTA[8-2-7-6-1,F,#5]'</f>
        <v>2474305.5999999996</v>
      </c>
      <c r="H53" s="90">
        <f t="shared" si="0"/>
        <v>16719295.410000002</v>
      </c>
    </row>
    <row r="54" spans="1:8" x14ac:dyDescent="0.2">
      <c r="A54" s="28">
        <v>6200</v>
      </c>
      <c r="B54" s="29" t="s">
        <v>119</v>
      </c>
      <c r="C54" s="89">
        <f>[1]!'@CTA[8-2-1-6-2,F,#5]'</f>
        <v>0</v>
      </c>
      <c r="D54" s="89">
        <f>[1]!'@CTA[8-2-3-6-2,F,#5]'</f>
        <v>0</v>
      </c>
      <c r="E54" s="89">
        <f>[1]!'@CTA[8-2-1-6-2,F,#5]'+[1]!'@CTA[8-2-3-6-2,F,#5]'</f>
        <v>0</v>
      </c>
      <c r="F54" s="89">
        <f>[1]!'@CTA[8-2-5-6-2,J,#5]'</f>
        <v>0</v>
      </c>
      <c r="G54" s="89">
        <f>[1]!'@CTA[8-2-7-6-2,F,#5]'</f>
        <v>0</v>
      </c>
      <c r="H54" s="90">
        <f t="shared" si="0"/>
        <v>0</v>
      </c>
    </row>
    <row r="55" spans="1:8" x14ac:dyDescent="0.2">
      <c r="A55" s="28">
        <v>6300</v>
      </c>
      <c r="B55" s="29" t="s">
        <v>120</v>
      </c>
      <c r="C55" s="89">
        <f>[1]!'@CTA[8-2-1-6-3,F,#5]'</f>
        <v>0</v>
      </c>
      <c r="D55" s="89">
        <f>[1]!'@CTA[8-2-3-6-3,F,#5]'</f>
        <v>0</v>
      </c>
      <c r="E55" s="89">
        <f>[1]!'@CTA[8-2-1-6-3,F,#5]'+[1]!'@CTA[8-2-3-6-3,F,#5]'</f>
        <v>0</v>
      </c>
      <c r="F55" s="89">
        <f>[1]!'@CTA[8-2-5-6-3,J,#5]'</f>
        <v>0</v>
      </c>
      <c r="G55" s="89">
        <f>[1]!'@CTA[8-2-7-6-3,F,#5]'</f>
        <v>0</v>
      </c>
      <c r="H55" s="90">
        <f t="shared" si="0"/>
        <v>0</v>
      </c>
    </row>
    <row r="56" spans="1:8" x14ac:dyDescent="0.2">
      <c r="A56" s="28">
        <v>7000</v>
      </c>
      <c r="B56" s="29" t="s">
        <v>121</v>
      </c>
      <c r="C56" s="89">
        <f>[1]!'@CTA[8-2-1-7,F,#4]'</f>
        <v>0</v>
      </c>
      <c r="D56" s="89">
        <f>[1]!'@CTA[8-2-3-7,F,#4]'</f>
        <v>0</v>
      </c>
      <c r="E56" s="89">
        <f>[1]!'@CTA[8-2-1-7,F,#4]'+[1]!'@CTA[8-2-3-7,F,#4]'</f>
        <v>0</v>
      </c>
      <c r="F56" s="89">
        <f>[1]!'@CTA[8-2-5-7,J,#4]'</f>
        <v>0</v>
      </c>
      <c r="G56" s="89">
        <f>[1]!'@CTA[8-2-7-7,F,#4]'</f>
        <v>0</v>
      </c>
      <c r="H56" s="90">
        <f t="shared" si="0"/>
        <v>0</v>
      </c>
    </row>
    <row r="57" spans="1:8" x14ac:dyDescent="0.2">
      <c r="A57" s="28">
        <v>7100</v>
      </c>
      <c r="B57" s="29" t="s">
        <v>122</v>
      </c>
      <c r="C57" s="89">
        <f>[1]!'@CTA[8-2-1-7-1,F,#5]'</f>
        <v>0</v>
      </c>
      <c r="D57" s="89">
        <f>[1]!'@CTA[8-2-3-7-1,F,#5]'</f>
        <v>0</v>
      </c>
      <c r="E57" s="89">
        <f>[1]!'@CTA[8-2-1-7-1,F,#5]'+[1]!'@CTA[8-2-3-7-1,F,#5]'</f>
        <v>0</v>
      </c>
      <c r="F57" s="89">
        <f>[1]!'@CTA[8-2-5-7-1,J,#5]'</f>
        <v>0</v>
      </c>
      <c r="G57" s="89">
        <f>[1]!'@CTA[8-2-7-7-1,F,#5]'</f>
        <v>0</v>
      </c>
      <c r="H57" s="90">
        <f t="shared" si="0"/>
        <v>0</v>
      </c>
    </row>
    <row r="58" spans="1:8" x14ac:dyDescent="0.2">
      <c r="A58" s="28">
        <v>7200</v>
      </c>
      <c r="B58" s="29" t="s">
        <v>123</v>
      </c>
      <c r="C58" s="89">
        <f>[1]!'@CTA[8-2-1-7-2,F,#5]'</f>
        <v>0</v>
      </c>
      <c r="D58" s="89">
        <f>[1]!'@CTA[8-2-3-7-2,F,#5]'</f>
        <v>0</v>
      </c>
      <c r="E58" s="89">
        <f>[1]!'@CTA[8-2-1-7-2,F,#5]'+[1]!'@CTA[8-2-3-7-2,F,#5]'</f>
        <v>0</v>
      </c>
      <c r="F58" s="89">
        <f>[1]!'@CTA[8-2-5-7-2,J,#5]'</f>
        <v>0</v>
      </c>
      <c r="G58" s="89">
        <f>[1]!'@CTA[8-2-7-7-2,F,#5]'</f>
        <v>0</v>
      </c>
      <c r="H58" s="90">
        <f t="shared" si="0"/>
        <v>0</v>
      </c>
    </row>
    <row r="59" spans="1:8" x14ac:dyDescent="0.2">
      <c r="A59" s="28">
        <v>7300</v>
      </c>
      <c r="B59" s="29" t="s">
        <v>124</v>
      </c>
      <c r="C59" s="89">
        <f>[1]!'@CTA[8-2-1-7-3,F,#5]'</f>
        <v>0</v>
      </c>
      <c r="D59" s="89">
        <f>[1]!'@CTA[8-2-3-7-3,F,#5]'</f>
        <v>0</v>
      </c>
      <c r="E59" s="89">
        <f>[1]!'@CTA[8-2-1-7-3,F,#5]'+[1]!'@CTA[8-2-3-7-3,F,#5]'</f>
        <v>0</v>
      </c>
      <c r="F59" s="89">
        <f>[1]!'@CTA[8-2-5-7-3,J,#5]'</f>
        <v>0</v>
      </c>
      <c r="G59" s="89">
        <f>[1]!'@CTA[8-2-7-7-3,F,#5]'</f>
        <v>0</v>
      </c>
      <c r="H59" s="90">
        <f t="shared" si="0"/>
        <v>0</v>
      </c>
    </row>
    <row r="60" spans="1:8" x14ac:dyDescent="0.2">
      <c r="A60" s="28">
        <v>7400</v>
      </c>
      <c r="B60" s="29" t="s">
        <v>125</v>
      </c>
      <c r="C60" s="89">
        <f>[1]!'@CTA[8-2-1-7-4,F,#5]'</f>
        <v>0</v>
      </c>
      <c r="D60" s="89">
        <f>[1]!'@CTA[8-2-3-7-4,F,#5]'</f>
        <v>0</v>
      </c>
      <c r="E60" s="89">
        <f>[1]!'@CTA[8-2-1-7-4,F,#5]'+[1]!'@CTA[8-2-3-7-4,F,#5]'</f>
        <v>0</v>
      </c>
      <c r="F60" s="89">
        <f>[1]!'@CTA[8-2-5-7-4,J,#5]'</f>
        <v>0</v>
      </c>
      <c r="G60" s="89">
        <f>[1]!'@CTA[8-2-7-7-4,F,#5]'</f>
        <v>0</v>
      </c>
      <c r="H60" s="90">
        <f t="shared" si="0"/>
        <v>0</v>
      </c>
    </row>
    <row r="61" spans="1:8" x14ac:dyDescent="0.2">
      <c r="A61" s="28">
        <v>7500</v>
      </c>
      <c r="B61" s="29" t="s">
        <v>126</v>
      </c>
      <c r="C61" s="89">
        <f>[1]!'@CTA[8-2-1-7-5,F,#5]'</f>
        <v>0</v>
      </c>
      <c r="D61" s="89">
        <f>[1]!'@CTA[8-2-3-7-5,F,#5]'</f>
        <v>0</v>
      </c>
      <c r="E61" s="89">
        <f>[1]!'@CTA[8-2-1-7-5,F,#5]'+[1]!'@CTA[8-2-3-7-5,F,#5]'</f>
        <v>0</v>
      </c>
      <c r="F61" s="89">
        <f>[1]!'@CTA[8-2-5-7-5,J,#5]'</f>
        <v>0</v>
      </c>
      <c r="G61" s="89">
        <f>[1]!'@CTA[8-2-7-7-5,F,#5]'</f>
        <v>0</v>
      </c>
      <c r="H61" s="90">
        <f t="shared" si="0"/>
        <v>0</v>
      </c>
    </row>
    <row r="62" spans="1:8" x14ac:dyDescent="0.2">
      <c r="A62" s="28">
        <v>7600</v>
      </c>
      <c r="B62" s="29" t="s">
        <v>127</v>
      </c>
      <c r="C62" s="89">
        <f>[1]!'@CTA[8-2-1-7-6,F,#5]'</f>
        <v>0</v>
      </c>
      <c r="D62" s="89">
        <f>[1]!'@CTA[8-2-3-7-6,F,#5]'</f>
        <v>0</v>
      </c>
      <c r="E62" s="89">
        <f>[1]!'@CTA[8-2-1-7-6,F,#5]'+[1]!'@CTA[8-2-3-7-6,F,#5]'</f>
        <v>0</v>
      </c>
      <c r="F62" s="89">
        <f>[1]!'@CTA[8-2-5-7-6,J,#5]'</f>
        <v>0</v>
      </c>
      <c r="G62" s="89">
        <f>[1]!'@CTA[8-2-7-7-6,F,#5]'</f>
        <v>0</v>
      </c>
      <c r="H62" s="90">
        <f t="shared" si="0"/>
        <v>0</v>
      </c>
    </row>
    <row r="63" spans="1:8" x14ac:dyDescent="0.2">
      <c r="A63" s="28">
        <v>7900</v>
      </c>
      <c r="B63" s="29" t="s">
        <v>128</v>
      </c>
      <c r="C63" s="89">
        <f>[1]!'@CTA[8-2-1-7-9,F,#5]'</f>
        <v>0</v>
      </c>
      <c r="D63" s="89">
        <f>[1]!'@CTA[8-2-3-7-9,F,#5]'</f>
        <v>0</v>
      </c>
      <c r="E63" s="89">
        <f>[1]!'@CTA[8-2-1-7-9,F,#5]'+[1]!'@CTA[8-2-3-7-9,F,#5]'</f>
        <v>0</v>
      </c>
      <c r="F63" s="89">
        <f>[1]!'@CTA[8-2-5-7-9,J,#5]'</f>
        <v>0</v>
      </c>
      <c r="G63" s="89">
        <f>[1]!'@CTA[8-2-7-7-9,F,#5]'</f>
        <v>0</v>
      </c>
      <c r="H63" s="90">
        <f t="shared" si="0"/>
        <v>0</v>
      </c>
    </row>
    <row r="64" spans="1:8" x14ac:dyDescent="0.2">
      <c r="A64" s="28">
        <v>8000</v>
      </c>
      <c r="B64" s="29" t="s">
        <v>129</v>
      </c>
      <c r="C64" s="89">
        <f>[1]!'@CTA[8-2-1-8,F,#4]'</f>
        <v>0</v>
      </c>
      <c r="D64" s="89">
        <f>[1]!'@CTA[8-2-3-8,F,#4]'</f>
        <v>0</v>
      </c>
      <c r="E64" s="89">
        <f>[1]!'@CTA[8-2-1-8,F,#4]'+[1]!'@CTA[8-2-3-8,F,#4]'</f>
        <v>0</v>
      </c>
      <c r="F64" s="89">
        <f>[1]!'@CTA[8-2-5-8,J,#4]'</f>
        <v>0</v>
      </c>
      <c r="G64" s="89">
        <f>[1]!'@CTA[8-2-7-8,F,#4]'</f>
        <v>0</v>
      </c>
      <c r="H64" s="90">
        <f t="shared" si="0"/>
        <v>0</v>
      </c>
    </row>
    <row r="65" spans="1:8" x14ac:dyDescent="0.2">
      <c r="A65" s="28">
        <v>8100</v>
      </c>
      <c r="B65" s="29" t="s">
        <v>130</v>
      </c>
      <c r="C65" s="89">
        <f>[1]!'@CTA[8-2-1-8-1,F,#5]'</f>
        <v>0</v>
      </c>
      <c r="D65" s="89">
        <f>[1]!'@CTA[8-2-3-8-1,F,#5]'</f>
        <v>0</v>
      </c>
      <c r="E65" s="89">
        <f>[1]!'@CTA[8-2-1-8-1,F,#5]'+[1]!'@CTA[8-2-3-8-1,F,#5]'</f>
        <v>0</v>
      </c>
      <c r="F65" s="89">
        <f>[1]!'@CTA[8-2-5-8-1,J,#5]'</f>
        <v>0</v>
      </c>
      <c r="G65" s="89">
        <f>[1]!'@CTA[8-2-7-8-1,F,#5]'</f>
        <v>0</v>
      </c>
      <c r="H65" s="90">
        <f t="shared" si="0"/>
        <v>0</v>
      </c>
    </row>
    <row r="66" spans="1:8" x14ac:dyDescent="0.2">
      <c r="A66" s="28">
        <v>8300</v>
      </c>
      <c r="B66" s="29" t="s">
        <v>131</v>
      </c>
      <c r="C66" s="89">
        <f>[1]!'@CTA[8-2-1-8-3,F,#5]'</f>
        <v>0</v>
      </c>
      <c r="D66" s="89">
        <f>[1]!'@CTA[8-2-3-8-3,F,#5]'</f>
        <v>0</v>
      </c>
      <c r="E66" s="89">
        <f>[1]!'@CTA[8-2-1-8-3,F,#5]'+[1]!'@CTA[8-2-3-8-3,F,#5]'</f>
        <v>0</v>
      </c>
      <c r="F66" s="89">
        <f>[1]!'@CTA[8-2-5-8-3,J,#5]'</f>
        <v>0</v>
      </c>
      <c r="G66" s="89">
        <f>[1]!'@CTA[8-2-7-8-3,F,#5]'</f>
        <v>0</v>
      </c>
      <c r="H66" s="90">
        <f t="shared" si="0"/>
        <v>0</v>
      </c>
    </row>
    <row r="67" spans="1:8" x14ac:dyDescent="0.2">
      <c r="A67" s="28">
        <v>8500</v>
      </c>
      <c r="B67" s="29" t="s">
        <v>132</v>
      </c>
      <c r="C67" s="89">
        <f>[1]!'@CTA[8-2-1-8-5,F,#5]'</f>
        <v>0</v>
      </c>
      <c r="D67" s="89">
        <f>[1]!'@CTA[8-2-3-8-5,F,#5]'</f>
        <v>0</v>
      </c>
      <c r="E67" s="89">
        <f>[1]!'@CTA[8-2-1-8-5,F,#5]'+[1]!'@CTA[8-2-3-8-5,F,#5]'</f>
        <v>0</v>
      </c>
      <c r="F67" s="89">
        <f>[1]!'@CTA[8-2-5-8-5,J,#5]'</f>
        <v>0</v>
      </c>
      <c r="G67" s="89">
        <f>[1]!'@CTA[8-2-7-8-5,F,#5]'</f>
        <v>0</v>
      </c>
      <c r="H67" s="90">
        <f t="shared" ref="H67:H75" si="1">E67-F67</f>
        <v>0</v>
      </c>
    </row>
    <row r="68" spans="1:8" x14ac:dyDescent="0.2">
      <c r="A68" s="28">
        <v>9000</v>
      </c>
      <c r="B68" s="29" t="s">
        <v>141</v>
      </c>
      <c r="C68" s="87">
        <f>[1]!'@CTA[8-2-1-9,F,#4]'</f>
        <v>0</v>
      </c>
      <c r="D68" s="87">
        <f>[1]!'@CTA[8-2-3-9,F,#4]'</f>
        <v>0</v>
      </c>
      <c r="E68" s="87">
        <f>[1]!'@CTA[8-2-1-9,F,#4]'+[1]!'@CTA[8-2-3-9,F,#4]'</f>
        <v>0</v>
      </c>
      <c r="F68" s="87">
        <f>[1]!'@CTA[8-2-5-9,J,#4]'</f>
        <v>0</v>
      </c>
      <c r="G68" s="87">
        <f>[1]!'@CTA[8-2-7-9,F,#4]'</f>
        <v>0</v>
      </c>
      <c r="H68" s="88">
        <f t="shared" si="1"/>
        <v>0</v>
      </c>
    </row>
    <row r="69" spans="1:8" x14ac:dyDescent="0.2">
      <c r="A69" s="28">
        <v>9100</v>
      </c>
      <c r="B69" s="29" t="s">
        <v>133</v>
      </c>
      <c r="C69" s="89">
        <f>[1]!'@CTA[8-2-1-9-1,F,#5]'</f>
        <v>0</v>
      </c>
      <c r="D69" s="89">
        <f>[1]!'@CTA[8-2-3-9-1,F,#5]'</f>
        <v>0</v>
      </c>
      <c r="E69" s="89">
        <f>[1]!'@CTA[8-2-1-9-1,F,#5]'+[1]!'@CTA[8-2-3-9-1,F,#5]'</f>
        <v>0</v>
      </c>
      <c r="F69" s="89">
        <f>[1]!'@CTA[8-2-5-9-1,J,#5]'</f>
        <v>0</v>
      </c>
      <c r="G69" s="89">
        <f>[1]!'@CTA[8-2-7-9-1,F,#5]'</f>
        <v>0</v>
      </c>
      <c r="H69" s="90">
        <f t="shared" si="1"/>
        <v>0</v>
      </c>
    </row>
    <row r="70" spans="1:8" x14ac:dyDescent="0.2">
      <c r="A70" s="28">
        <v>9200</v>
      </c>
      <c r="B70" s="29" t="s">
        <v>134</v>
      </c>
      <c r="C70" s="89">
        <f>[1]!'@CTA[8-2-1-9-2,F,#5]'</f>
        <v>0</v>
      </c>
      <c r="D70" s="89">
        <f>[1]!'@CTA[8-2-3-9-2,F,#5]'</f>
        <v>0</v>
      </c>
      <c r="E70" s="89">
        <f>[1]!'@CTA[8-2-1-9-2,F,#5]'+[1]!'@CTA[8-2-3-9-2,F,#5]'</f>
        <v>0</v>
      </c>
      <c r="F70" s="89">
        <f>[1]!'@CTA[8-2-5-9-2,J,#5]'</f>
        <v>0</v>
      </c>
      <c r="G70" s="89">
        <f>[1]!'@CTA[8-2-7-9-2,F,#5]'</f>
        <v>0</v>
      </c>
      <c r="H70" s="90">
        <f t="shared" si="1"/>
        <v>0</v>
      </c>
    </row>
    <row r="71" spans="1:8" x14ac:dyDescent="0.2">
      <c r="A71" s="28">
        <v>9300</v>
      </c>
      <c r="B71" s="29" t="s">
        <v>135</v>
      </c>
      <c r="C71" s="89">
        <f>[1]!'@CTA[8-2-1-9-3,F,#5]'</f>
        <v>0</v>
      </c>
      <c r="D71" s="89">
        <f>[1]!'@CTA[8-2-3-9-3,F,#5]'</f>
        <v>0</v>
      </c>
      <c r="E71" s="89">
        <f>[1]!'@CTA[8-2-1-9-3,F,#5]'+[1]!'@CTA[8-2-3-9-3,F,#5]'</f>
        <v>0</v>
      </c>
      <c r="F71" s="89">
        <f>[1]!'@CTA[8-2-5-9-3,J,#5]'</f>
        <v>0</v>
      </c>
      <c r="G71" s="89">
        <f>[1]!'@CTA[8-2-7-9-3,F,#5]'</f>
        <v>0</v>
      </c>
      <c r="H71" s="90">
        <f t="shared" si="1"/>
        <v>0</v>
      </c>
    </row>
    <row r="72" spans="1:8" x14ac:dyDescent="0.2">
      <c r="A72" s="28">
        <v>9400</v>
      </c>
      <c r="B72" s="29" t="s">
        <v>136</v>
      </c>
      <c r="C72" s="89">
        <f>[1]!'@CTA[8-2-1-9-4,F,#5]'</f>
        <v>0</v>
      </c>
      <c r="D72" s="89">
        <f>[1]!'@CTA[8-2-3-9-4,F,#5]'</f>
        <v>0</v>
      </c>
      <c r="E72" s="89">
        <f>[1]!'@CTA[8-2-1-9-4,F,#5]'+[1]!'@CTA[8-2-3-9-4,F,#5]'</f>
        <v>0</v>
      </c>
      <c r="F72" s="89">
        <f>[1]!'@CTA[8-2-5-9-4,J,#5]'</f>
        <v>0</v>
      </c>
      <c r="G72" s="89">
        <f>[1]!'@CTA[8-2-7-9-4,F,#5]'</f>
        <v>0</v>
      </c>
      <c r="H72" s="90">
        <f t="shared" si="1"/>
        <v>0</v>
      </c>
    </row>
    <row r="73" spans="1:8" x14ac:dyDescent="0.2">
      <c r="A73" s="28">
        <v>9500</v>
      </c>
      <c r="B73" s="29" t="s">
        <v>137</v>
      </c>
      <c r="C73" s="89">
        <f>[1]!'@CTA[8-2-1-9-5,F,#5]'</f>
        <v>0</v>
      </c>
      <c r="D73" s="89">
        <f>[1]!'@CTA[8-2-3-9-5,F,#5]'</f>
        <v>0</v>
      </c>
      <c r="E73" s="89">
        <f>[1]!'@CTA[8-2-1-9-5,F,#5]'+[1]!'@CTA[8-2-3-9-5,F,#5]'</f>
        <v>0</v>
      </c>
      <c r="F73" s="89">
        <f>[1]!'@CTA[8-2-5-9-5,J,#5]'</f>
        <v>0</v>
      </c>
      <c r="G73" s="89">
        <f>[1]!'@CTA[8-2-7-9-5,F,#5]'</f>
        <v>0</v>
      </c>
      <c r="H73" s="90">
        <f t="shared" si="1"/>
        <v>0</v>
      </c>
    </row>
    <row r="74" spans="1:8" x14ac:dyDescent="0.2">
      <c r="A74" s="28">
        <v>9600</v>
      </c>
      <c r="B74" s="29" t="s">
        <v>138</v>
      </c>
      <c r="C74" s="89">
        <f>[1]!'@CTA[8-2-1-9-6,F,#5]'</f>
        <v>0</v>
      </c>
      <c r="D74" s="89">
        <f>[1]!'@CTA[8-2-3-9-6,F,#5]'</f>
        <v>0</v>
      </c>
      <c r="E74" s="89">
        <f>[1]!'@CTA[8-2-1-9-6,F,#5]'+[1]!'@CTA[8-2-3-9-6,F,#5]'</f>
        <v>0</v>
      </c>
      <c r="F74" s="89">
        <f>[1]!'@CTA[8-2-5-9-6,J,#5]'</f>
        <v>0</v>
      </c>
      <c r="G74" s="89">
        <f>[1]!'@CTA[8-2-7-9-6,F,#5]'</f>
        <v>0</v>
      </c>
      <c r="H74" s="90">
        <f t="shared" si="1"/>
        <v>0</v>
      </c>
    </row>
    <row r="75" spans="1:8" x14ac:dyDescent="0.2">
      <c r="A75" s="31">
        <v>9900</v>
      </c>
      <c r="B75" s="32" t="s">
        <v>139</v>
      </c>
      <c r="C75" s="91">
        <f>[1]!'@CTA[8-2-1-9-9,F,#5]'</f>
        <v>0</v>
      </c>
      <c r="D75" s="91">
        <f>[1]!'@CTA[8-2-3-9-9,F,#5]'</f>
        <v>0</v>
      </c>
      <c r="E75" s="91">
        <f>[1]!'@CTA[8-2-1-9-9,F,#5]'+[1]!'@CTA[8-2-3-9-9,F,#5]'</f>
        <v>0</v>
      </c>
      <c r="F75" s="91">
        <f>[1]!'@CTA[8-2-5-9-9,J,#5]'</f>
        <v>0</v>
      </c>
      <c r="G75" s="91">
        <f>[1]!'@CTA[8-2-7-9-9,F,#5]'</f>
        <v>0</v>
      </c>
      <c r="H75" s="92">
        <f t="shared" si="1"/>
        <v>0</v>
      </c>
    </row>
    <row r="77" spans="1:8" x14ac:dyDescent="0.2">
      <c r="A77" s="49" t="s">
        <v>145</v>
      </c>
      <c r="B77" s="50"/>
      <c r="C77" s="50"/>
      <c r="D77" s="51"/>
    </row>
    <row r="78" spans="1:8" x14ac:dyDescent="0.2">
      <c r="A78" s="52"/>
      <c r="B78" s="50"/>
      <c r="C78" s="50"/>
      <c r="D78" s="51"/>
    </row>
    <row r="79" spans="1:8" x14ac:dyDescent="0.2">
      <c r="A79" s="53"/>
      <c r="B79" s="54"/>
      <c r="C79" s="53"/>
      <c r="D79" s="53"/>
      <c r="E79" s="26"/>
      <c r="F79" s="26"/>
      <c r="G79" s="26"/>
      <c r="H79" s="26"/>
    </row>
    <row r="80" spans="1:8" x14ac:dyDescent="0.2">
      <c r="A80" s="55"/>
      <c r="B80" s="53"/>
      <c r="C80" s="53"/>
      <c r="D80" s="53"/>
      <c r="E80" s="26"/>
      <c r="F80" s="26"/>
      <c r="G80" s="26"/>
      <c r="H80" s="26"/>
    </row>
    <row r="81" spans="1:8" x14ac:dyDescent="0.2">
      <c r="A81" s="55"/>
      <c r="B81" s="53" t="s">
        <v>146</v>
      </c>
      <c r="C81" s="55"/>
      <c r="D81" s="59" t="s">
        <v>146</v>
      </c>
      <c r="E81" s="26"/>
      <c r="F81" s="59" t="s">
        <v>146</v>
      </c>
      <c r="G81" s="26"/>
      <c r="H81" s="26"/>
    </row>
    <row r="82" spans="1:8" ht="56.25" x14ac:dyDescent="0.2">
      <c r="A82" s="55"/>
      <c r="B82" s="56" t="s">
        <v>392</v>
      </c>
      <c r="C82" s="57"/>
      <c r="D82" s="58" t="s">
        <v>393</v>
      </c>
      <c r="E82" s="26"/>
      <c r="F82" s="58" t="s">
        <v>394</v>
      </c>
      <c r="G82" s="26"/>
      <c r="H82" s="26"/>
    </row>
    <row r="83" spans="1:8" x14ac:dyDescent="0.2">
      <c r="A83" s="26"/>
      <c r="B83" s="26"/>
      <c r="C83" s="26"/>
      <c r="D83" s="26"/>
      <c r="E83" s="26"/>
      <c r="F83" s="26"/>
      <c r="G83" s="26"/>
      <c r="H83" s="26"/>
    </row>
  </sheetData>
  <sheetProtection algorithmName="SHA-512" hashValue="G826P3zTe47RMiKSl+b7DYTLVPrdoeUJnEwI0cfltSxUulDzNrkKk7Hq40XBPA2mDea41nqxwWvUad4ysuGzJQ==" saltValue="rEaAB7zr7gotW8R4vv+JOg==" spinCount="100000" sheet="1" objects="1" scenarios="1" autoFilter="0"/>
  <protectedRanges>
    <protectedRange sqref="C3:H3" name="Rango1_2"/>
  </protectedRanges>
  <mergeCells count="1">
    <mergeCell ref="A1:H1"/>
  </mergeCells>
  <dataValidations disablePrompts="1" count="8">
    <dataValidation allowBlank="1" showInputMessage="1" showErrorMessage="1" prompt="Refleja las modificaciones realizadas al Presupuesto Aprobado" sqref="D2"/>
    <dataValidation allowBlank="1" showInputMessage="1" showErrorMessage="1" prompt="Se refiere al nombre que se asigna a cada uno de los desagregados que se señalan." sqref="B2"/>
    <dataValidation allowBlank="1" showInputMessage="1" showErrorMessage="1" prompt="Refleja las asignaciones presupuestarias anuales comprometidas en el Presupuesto de Egresos." sqref="C2"/>
    <dataValidation allowBlank="1" showInputMessage="1" showErrorMessage="1" prompt="Es el momento que refleja la asignación presupuestaria que resulta de incorporar; en su caso, las adecuaciones presupuestarias al presupuesto aprobado." sqref="E2"/>
    <dataValidation allowBlank="1" showInputMessage="1" showErrorMessage="1" prompt="En esta columna deben registrarse los &quot;cargos&quot; del devengado. Este momento contable refleja el reconocimiento de una obligación de pago a favor de terceros por la recepción de conformidad de bienes, servicios y obras oportunamente..." sqref="F2"/>
    <dataValidation allowBlank="1" showInputMessage="1" showErrorMessage="1" prompt="Es el momento que refleja la cancelación total o parcial de las obligaciones de pago, que se concreta mediante el desembolso de efectivo o cualquier otro medio de pago." sqref="G2"/>
    <dataValidation allowBlank="1" showInputMessage="1" showErrorMessage="1" prompt="Modificado menos Devengado" sqref="H2"/>
    <dataValidation allowBlank="1" showInputMessage="1" showErrorMessage="1" prompt="Para el llenado de este formato se debe utilizar a nivel de Capítulo y Concepto el Clasificador por Objeto del Gasto aprobado por el CONAC." sqref="A2"/>
  </dataValidations>
  <pageMargins left="0.70866141732283472" right="0.70866141732283472" top="0.74803149606299213" bottom="0.74803149606299213" header="0.31496062992125984" footer="0.31496062992125984"/>
  <pageSetup scale="85" fitToHeight="2" orientation="landscape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showGridLines="0" workbookViewId="0">
      <selection activeCell="G17" sqref="G17"/>
    </sheetView>
  </sheetViews>
  <sheetFormatPr baseColWidth="10" defaultRowHeight="11.25" x14ac:dyDescent="0.2"/>
  <cols>
    <col min="1" max="1" width="9.1640625" style="27" customWidth="1"/>
    <col min="2" max="2" width="72.83203125" style="27" customWidth="1"/>
    <col min="3" max="5" width="18.33203125" style="27" customWidth="1"/>
    <col min="6" max="6" width="19.83203125" style="27" customWidth="1"/>
    <col min="7" max="8" width="18.33203125" style="27" customWidth="1"/>
    <col min="9" max="16384" width="12" style="27"/>
  </cols>
  <sheetData>
    <row r="1" spans="1:8" ht="35.1" customHeight="1" x14ac:dyDescent="0.2">
      <c r="A1" s="148" t="s">
        <v>336</v>
      </c>
      <c r="B1" s="149"/>
      <c r="C1" s="149"/>
      <c r="D1" s="149"/>
      <c r="E1" s="149"/>
      <c r="F1" s="149"/>
      <c r="G1" s="149"/>
      <c r="H1" s="150"/>
    </row>
    <row r="2" spans="1:8" ht="24.95" customHeight="1" x14ac:dyDescent="0.2">
      <c r="A2" s="43" t="s">
        <v>16</v>
      </c>
      <c r="B2" s="43" t="s">
        <v>4</v>
      </c>
      <c r="C2" s="44" t="s">
        <v>5</v>
      </c>
      <c r="D2" s="44" t="s">
        <v>142</v>
      </c>
      <c r="E2" s="44" t="s">
        <v>6</v>
      </c>
      <c r="F2" s="44" t="s">
        <v>8</v>
      </c>
      <c r="G2" s="44" t="s">
        <v>10</v>
      </c>
      <c r="H2" s="44" t="s">
        <v>11</v>
      </c>
    </row>
    <row r="3" spans="1:8" ht="12" x14ac:dyDescent="0.2">
      <c r="A3" s="7">
        <v>900001</v>
      </c>
      <c r="B3" s="8" t="s">
        <v>12</v>
      </c>
      <c r="C3" s="93">
        <f t="shared" ref="C3:H3" si="0">SUM(C4:C6)</f>
        <v>52450352</v>
      </c>
      <c r="D3" s="93">
        <f t="shared" si="0"/>
        <v>7716470.1500000022</v>
      </c>
      <c r="E3" s="93">
        <f t="shared" si="0"/>
        <v>60166822.150000006</v>
      </c>
      <c r="F3" s="93">
        <f t="shared" si="0"/>
        <v>12063354.279999999</v>
      </c>
      <c r="G3" s="93">
        <f t="shared" si="0"/>
        <v>11383666.389999976</v>
      </c>
      <c r="H3" s="94">
        <f t="shared" si="0"/>
        <v>48103467.870000005</v>
      </c>
    </row>
    <row r="4" spans="1:8" ht="12" x14ac:dyDescent="0.2">
      <c r="A4" s="33">
        <v>1</v>
      </c>
      <c r="B4" s="34" t="s">
        <v>14</v>
      </c>
      <c r="C4" s="95">
        <f>COG!C4+COG!C12+COG!C22+COG!C32</f>
        <v>38832375</v>
      </c>
      <c r="D4" s="95">
        <f>COG!D4+COG!D12+COG!D22+COG!D32</f>
        <v>542294.14000000176</v>
      </c>
      <c r="E4" s="95">
        <f>COG!E4+COG!E12+COG!E22+COG!E32</f>
        <v>39374669.140000001</v>
      </c>
      <c r="F4" s="95">
        <f>COG!F4+COG!F12+COG!F22+COG!F32</f>
        <v>9533366.1999999993</v>
      </c>
      <c r="G4" s="95">
        <f>COG!G4+COG!G12+COG!G22+COG!G32</f>
        <v>8853678.3099999763</v>
      </c>
      <c r="H4" s="95">
        <f>E4-F4</f>
        <v>29841302.940000001</v>
      </c>
    </row>
    <row r="5" spans="1:8" ht="12" x14ac:dyDescent="0.2">
      <c r="A5" s="33">
        <v>2</v>
      </c>
      <c r="B5" s="34" t="s">
        <v>15</v>
      </c>
      <c r="C5" s="95">
        <f>COG!C42+COG!C52+COG!C56+COG!C64</f>
        <v>13617977</v>
      </c>
      <c r="D5" s="95">
        <f>COG!D42+COG!D52+COG!D56+COG!D64</f>
        <v>7174176.0100000007</v>
      </c>
      <c r="E5" s="95">
        <f>COG!E42+COG!E52+COG!E56+COG!E64</f>
        <v>20792153.010000002</v>
      </c>
      <c r="F5" s="95">
        <f>COG!F42+COG!F52+COG!F56+COG!F64</f>
        <v>2529988.0799999996</v>
      </c>
      <c r="G5" s="95">
        <f>COG!G42+COG!G52+COG!G56+COG!G64</f>
        <v>2529988.08</v>
      </c>
      <c r="H5" s="95">
        <f>E5-F5</f>
        <v>18262164.930000003</v>
      </c>
    </row>
    <row r="6" spans="1:8" x14ac:dyDescent="0.2">
      <c r="A6" s="33">
        <v>3</v>
      </c>
      <c r="B6" s="34" t="s">
        <v>17</v>
      </c>
      <c r="C6" s="30">
        <f>COG!C68</f>
        <v>0</v>
      </c>
      <c r="D6" s="30">
        <f>COG!D68</f>
        <v>0</v>
      </c>
      <c r="E6" s="30">
        <f>COG!E68</f>
        <v>0</v>
      </c>
      <c r="F6" s="30">
        <f>COG!F68</f>
        <v>0</v>
      </c>
      <c r="G6" s="30">
        <f>COG!G68</f>
        <v>0</v>
      </c>
      <c r="H6" s="30">
        <f>SUM(COG!H68)</f>
        <v>0</v>
      </c>
    </row>
    <row r="7" spans="1:8" x14ac:dyDescent="0.2">
      <c r="A7" s="33">
        <v>4</v>
      </c>
      <c r="B7" s="34" t="s">
        <v>143</v>
      </c>
      <c r="C7" s="30">
        <f>SUM(COG!C37)</f>
        <v>0</v>
      </c>
      <c r="D7" s="30">
        <f>SUM(COG!D37)</f>
        <v>0</v>
      </c>
      <c r="E7" s="30">
        <f>SUM(COG!E37)</f>
        <v>0</v>
      </c>
      <c r="F7" s="30">
        <f>SUM(COG!F37)</f>
        <v>0</v>
      </c>
      <c r="G7" s="30">
        <f>SUM(COG!G37)</f>
        <v>0</v>
      </c>
      <c r="H7" s="30">
        <f>SUM(COG!H37)</f>
        <v>0</v>
      </c>
    </row>
    <row r="8" spans="1:8" x14ac:dyDescent="0.2">
      <c r="A8" s="35">
        <v>5</v>
      </c>
      <c r="B8" s="36" t="s">
        <v>130</v>
      </c>
      <c r="C8" s="30">
        <f>SUM(COG!C64)</f>
        <v>0</v>
      </c>
      <c r="D8" s="30">
        <f>SUM(COG!D64)</f>
        <v>0</v>
      </c>
      <c r="E8" s="30">
        <f>SUM(COG!E64)</f>
        <v>0</v>
      </c>
      <c r="F8" s="30">
        <f>SUM(COG!F64)</f>
        <v>0</v>
      </c>
      <c r="G8" s="30">
        <f>SUM(COG!G64)</f>
        <v>0</v>
      </c>
      <c r="H8" s="30">
        <f>SUM(COG!H64)</f>
        <v>0</v>
      </c>
    </row>
  </sheetData>
  <sheetProtection algorithmName="SHA-512" hashValue="qkZTIMGo0g0Bjymn1B90qSdLg7FbQd3xdGe1MOglf6+pGtKgbczsqFSABFEWN85+qZHsIhfJc+YP4bHc8ocjLg==" saltValue="raqyk4YEDKw3BvKWbLOZkA==" spinCount="100000" sheet="1" objects="1" scenarios="1" autoFilter="0"/>
  <protectedRanges>
    <protectedRange sqref="C3:H3" name="Rango1_2"/>
  </protectedRanges>
  <mergeCells count="1">
    <mergeCell ref="A1:H1"/>
  </mergeCells>
  <dataValidations disablePrompts="1" count="8">
    <dataValidation allowBlank="1" showInputMessage="1" showErrorMessage="1" prompt="Modificado menos devengado" sqref="H2"/>
    <dataValidation allowBlank="1" showInputMessage="1" showErrorMessage="1" prompt="Es el momento que refleja la cancelación total o parcial de las obligaciones de pago, que se concreta mediante el desembolso de efectivo o cualquier otro medio de pago." sqref="G2"/>
    <dataValidation allowBlank="1" showInputMessage="1" showErrorMessage="1" prompt="En esta columna deben registrarse los &quot;cargos&quot; del devengado. Este momento contable refleja el reconocimiento de una obligación de pago a favor de terceros por la recepción de conformidad de bienes, servicios y obras oportunamente..." sqref="F2"/>
    <dataValidation allowBlank="1" showInputMessage="1" showErrorMessage="1" prompt="Es el momento que refleja la asignación presupuestaria que resulta de incorporar; en su caso, las adecuaciones presupuestarias al presupuesto aprobado." sqref="E2"/>
    <dataValidation allowBlank="1" showInputMessage="1" showErrorMessage="1" prompt="Refleja las asignaciones presupuestarias anuales comprometidas en el Presupuesto de Egresos." sqref="C2"/>
    <dataValidation allowBlank="1" showInputMessage="1" showErrorMessage="1" prompt="Se refiere al nombre que se asigna a cada uno de los desagregados que se señalan." sqref="B2"/>
    <dataValidation allowBlank="1" showInputMessage="1" showErrorMessage="1" prompt="Refleja las modificaciones realizadas al Presupuesto Aprobado" sqref="D2"/>
    <dataValidation allowBlank="1" showInputMessage="1" showErrorMessage="1" prompt="Para el llenado de este formato se debe utilizar la Clasificación por Tipo de Gasto aprobado por el CONAC identificando el ejercicio presupuestal de gasto corriente, gasto de capital y el de amortización de la deuda y disminución de pasivos..." sqref="A2"/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showGridLines="0" workbookViewId="0">
      <selection activeCell="D7" sqref="D7"/>
    </sheetView>
  </sheetViews>
  <sheetFormatPr baseColWidth="10" defaultRowHeight="11.25" x14ac:dyDescent="0.2"/>
  <cols>
    <col min="1" max="1" width="9.1640625" style="22" customWidth="1"/>
    <col min="2" max="2" width="85.83203125" style="22" bestFit="1" customWidth="1"/>
    <col min="3" max="5" width="18.33203125" style="22" customWidth="1"/>
    <col min="6" max="6" width="19.83203125" style="22" customWidth="1"/>
    <col min="7" max="8" width="18.33203125" style="22" customWidth="1"/>
    <col min="9" max="16384" width="12" style="22"/>
  </cols>
  <sheetData>
    <row r="1" spans="1:8" ht="35.1" customHeight="1" x14ac:dyDescent="0.2">
      <c r="A1" s="148" t="s">
        <v>338</v>
      </c>
      <c r="B1" s="149"/>
      <c r="C1" s="149"/>
      <c r="D1" s="149"/>
      <c r="E1" s="149"/>
      <c r="F1" s="149"/>
      <c r="G1" s="149"/>
      <c r="H1" s="150"/>
    </row>
    <row r="2" spans="1:8" ht="24.95" customHeight="1" x14ac:dyDescent="0.2">
      <c r="A2" s="45" t="s">
        <v>31</v>
      </c>
      <c r="B2" s="43" t="s">
        <v>4</v>
      </c>
      <c r="C2" s="44" t="s">
        <v>5</v>
      </c>
      <c r="D2" s="44" t="s">
        <v>142</v>
      </c>
      <c r="E2" s="44" t="s">
        <v>6</v>
      </c>
      <c r="F2" s="44" t="s">
        <v>8</v>
      </c>
      <c r="G2" s="44" t="s">
        <v>10</v>
      </c>
      <c r="H2" s="44" t="s">
        <v>11</v>
      </c>
    </row>
    <row r="3" spans="1:8" ht="12" x14ac:dyDescent="0.2">
      <c r="A3" s="7">
        <v>900001</v>
      </c>
      <c r="B3" s="8" t="s">
        <v>12</v>
      </c>
      <c r="C3" s="101">
        <f t="shared" ref="C3:H3" si="0">C4+C6</f>
        <v>52450352</v>
      </c>
      <c r="D3" s="101">
        <f t="shared" si="0"/>
        <v>7716470.1500000022</v>
      </c>
      <c r="E3" s="101">
        <f t="shared" si="0"/>
        <v>60166822.150000006</v>
      </c>
      <c r="F3" s="101">
        <f t="shared" si="0"/>
        <v>12063354.279999999</v>
      </c>
      <c r="G3" s="101">
        <f t="shared" si="0"/>
        <v>11383666.389999976</v>
      </c>
      <c r="H3" s="101">
        <f t="shared" si="0"/>
        <v>48103467.870000005</v>
      </c>
    </row>
    <row r="4" spans="1:8" ht="12" x14ac:dyDescent="0.2">
      <c r="A4" s="25">
        <v>900002</v>
      </c>
      <c r="B4" s="15" t="s">
        <v>67</v>
      </c>
      <c r="C4" s="102">
        <f t="shared" ref="C4:H4" si="1">+C5</f>
        <v>0</v>
      </c>
      <c r="D4" s="102">
        <f t="shared" si="1"/>
        <v>0</v>
      </c>
      <c r="E4" s="102">
        <f t="shared" si="1"/>
        <v>0</v>
      </c>
      <c r="F4" s="102">
        <f t="shared" si="1"/>
        <v>0</v>
      </c>
      <c r="G4" s="102">
        <f t="shared" si="1"/>
        <v>0</v>
      </c>
      <c r="H4" s="102">
        <f t="shared" si="1"/>
        <v>0</v>
      </c>
    </row>
    <row r="5" spans="1:8" ht="12" x14ac:dyDescent="0.2">
      <c r="A5" s="9">
        <v>31111</v>
      </c>
      <c r="B5" s="10" t="s">
        <v>66</v>
      </c>
      <c r="C5" s="103"/>
      <c r="D5" s="103"/>
      <c r="E5" s="103"/>
      <c r="F5" s="103"/>
      <c r="G5" s="103"/>
      <c r="H5" s="103"/>
    </row>
    <row r="6" spans="1:8" ht="12" x14ac:dyDescent="0.2">
      <c r="A6" s="25">
        <v>900003</v>
      </c>
      <c r="B6" s="15" t="s">
        <v>55</v>
      </c>
      <c r="C6" s="102">
        <f t="shared" ref="C6:H6" si="2">SUM(C7:C12)</f>
        <v>52450352</v>
      </c>
      <c r="D6" s="102">
        <f t="shared" si="2"/>
        <v>7716470.1500000022</v>
      </c>
      <c r="E6" s="102">
        <f t="shared" si="2"/>
        <v>60166822.150000006</v>
      </c>
      <c r="F6" s="102">
        <f t="shared" si="2"/>
        <v>12063354.279999999</v>
      </c>
      <c r="G6" s="102">
        <f t="shared" si="2"/>
        <v>11383666.389999976</v>
      </c>
      <c r="H6" s="102">
        <f t="shared" si="2"/>
        <v>48103467.870000005</v>
      </c>
    </row>
    <row r="7" spans="1:8" ht="12" x14ac:dyDescent="0.2">
      <c r="A7" s="9">
        <v>31120</v>
      </c>
      <c r="B7" s="10" t="s">
        <v>28</v>
      </c>
      <c r="C7" s="103">
        <f>COG!C3</f>
        <v>52450352</v>
      </c>
      <c r="D7" s="103">
        <f>COG!D3</f>
        <v>7716470.1500000022</v>
      </c>
      <c r="E7" s="103">
        <f>COG!E3</f>
        <v>60166822.150000006</v>
      </c>
      <c r="F7" s="103">
        <f>COG!F3</f>
        <v>12063354.279999999</v>
      </c>
      <c r="G7" s="103">
        <f>COG!G3</f>
        <v>11383666.389999976</v>
      </c>
      <c r="H7" s="103">
        <f>COG!H3</f>
        <v>48103467.870000005</v>
      </c>
    </row>
    <row r="8" spans="1:8" ht="12" x14ac:dyDescent="0.2">
      <c r="A8" s="9">
        <v>31210</v>
      </c>
      <c r="B8" s="10" t="s">
        <v>56</v>
      </c>
      <c r="C8" s="103"/>
      <c r="D8" s="103"/>
      <c r="E8" s="103"/>
      <c r="F8" s="103"/>
      <c r="G8" s="103"/>
      <c r="H8" s="103"/>
    </row>
    <row r="9" spans="1:8" ht="12" x14ac:dyDescent="0.2">
      <c r="A9" s="9">
        <v>31220</v>
      </c>
      <c r="B9" s="10" t="s">
        <v>57</v>
      </c>
      <c r="C9" s="103"/>
      <c r="D9" s="103"/>
      <c r="E9" s="103"/>
      <c r="F9" s="103"/>
      <c r="G9" s="103"/>
      <c r="H9" s="103"/>
    </row>
    <row r="10" spans="1:8" ht="12" x14ac:dyDescent="0.2">
      <c r="A10" s="9">
        <v>32200</v>
      </c>
      <c r="B10" s="10" t="s">
        <v>64</v>
      </c>
      <c r="C10" s="103"/>
      <c r="D10" s="103"/>
      <c r="E10" s="103"/>
      <c r="F10" s="103"/>
      <c r="G10" s="103"/>
      <c r="H10" s="103"/>
    </row>
    <row r="11" spans="1:8" ht="12" x14ac:dyDescent="0.2">
      <c r="A11" s="9">
        <v>32300</v>
      </c>
      <c r="B11" s="10" t="s">
        <v>65</v>
      </c>
      <c r="C11" s="103"/>
      <c r="D11" s="103"/>
      <c r="E11" s="103"/>
      <c r="F11" s="103"/>
      <c r="G11" s="103"/>
      <c r="H11" s="103"/>
    </row>
    <row r="12" spans="1:8" ht="12" x14ac:dyDescent="0.2">
      <c r="A12" s="11">
        <v>32400</v>
      </c>
      <c r="B12" s="12" t="s">
        <v>30</v>
      </c>
      <c r="C12" s="103"/>
      <c r="D12" s="103"/>
      <c r="E12" s="103"/>
      <c r="F12" s="103"/>
      <c r="G12" s="103"/>
      <c r="H12" s="103"/>
    </row>
  </sheetData>
  <sheetProtection algorithmName="SHA-512" hashValue="NLqMCMG6ic4mFdydlNo5oxV8CpW0OkSAwWJ2rWlQJnFxKLIxjBPg66drpR4PrraQcggeRAi+MW5GArC1z8Qmlw==" saltValue="OadP1aN/ZbDbx0JrqVDzqw==" spinCount="100000" sheet="1" objects="1" scenarios="1" autoFilter="0"/>
  <protectedRanges>
    <protectedRange sqref="C3:H3" name="Rango1_2_1"/>
  </protectedRanges>
  <mergeCells count="1">
    <mergeCell ref="A1:H1"/>
  </mergeCells>
  <dataValidations count="8">
    <dataValidation allowBlank="1" showInputMessage="1" showErrorMessage="1" prompt="Es el momento que refleja la cancelación total o parcial de las obligaciones de pago, que se concreta mediante el desembolso de efectivo o cualquier otro medio de pago." sqref="G2"/>
    <dataValidation allowBlank="1" showInputMessage="1" showErrorMessage="1" prompt="En esta columna deben registrarse los &quot;cargos&quot; del devengado. Este momento contable refleja el reconocimiento de una obligación de pago a favor de terceros por la recepción de conformidad de bienes, servicios y obras oportunamente..." sqref="F2"/>
    <dataValidation allowBlank="1" showInputMessage="1" showErrorMessage="1" prompt="Es el momento que refleja la asignación presupuestaria que resulta de incorporar; en su caso, las adecuaciones presupuestarias al presupuesto aprobado." sqref="E2"/>
    <dataValidation allowBlank="1" showInputMessage="1" showErrorMessage="1" prompt="Refleja las asignaciones presupuestarias anuales comprometidas en el Presupuesto de Egresos." sqref="C2"/>
    <dataValidation allowBlank="1" showInputMessage="1" showErrorMessage="1" prompt="Refleja las modificaciones realizadas al Presupuesto Aprobado" sqref="D2"/>
    <dataValidation allowBlank="1" showInputMessage="1" showErrorMessage="1" prompt="Modificado menos devengado" sqref="H2"/>
    <dataValidation allowBlank="1" showInputMessage="1" showErrorMessage="1" prompt="Se refiere al nombre que se asigna a cada uno de los desagregados que se señalan." sqref="B2"/>
    <dataValidation allowBlank="1" showInputMessage="1" showErrorMessage="1" prompt="De acuerdo a la Clasificación Administrativa, publicada en el DOF del 7 de julio de 2011." sqref="A2"/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showGridLines="0" zoomScaleNormal="100" workbookViewId="0">
      <selection sqref="A1:H1"/>
    </sheetView>
  </sheetViews>
  <sheetFormatPr baseColWidth="10" defaultRowHeight="11.25" x14ac:dyDescent="0.2"/>
  <cols>
    <col min="1" max="1" width="9.1640625" style="22" customWidth="1"/>
    <col min="2" max="2" width="91.6640625" style="22" customWidth="1"/>
    <col min="3" max="5" width="18.33203125" style="22" customWidth="1"/>
    <col min="6" max="6" width="19.83203125" style="22" customWidth="1"/>
    <col min="7" max="8" width="18.33203125" style="22" customWidth="1"/>
    <col min="9" max="16384" width="12" style="22"/>
  </cols>
  <sheetData>
    <row r="1" spans="1:8" ht="35.1" customHeight="1" x14ac:dyDescent="0.2">
      <c r="A1" s="148" t="s">
        <v>338</v>
      </c>
      <c r="B1" s="149"/>
      <c r="C1" s="149"/>
      <c r="D1" s="149"/>
      <c r="E1" s="149"/>
      <c r="F1" s="149"/>
      <c r="G1" s="149"/>
      <c r="H1" s="150"/>
    </row>
    <row r="2" spans="1:8" ht="24.95" customHeight="1" x14ac:dyDescent="0.2">
      <c r="A2" s="45" t="s">
        <v>31</v>
      </c>
      <c r="B2" s="43" t="s">
        <v>4</v>
      </c>
      <c r="C2" s="44" t="s">
        <v>5</v>
      </c>
      <c r="D2" s="44" t="s">
        <v>142</v>
      </c>
      <c r="E2" s="44" t="s">
        <v>6</v>
      </c>
      <c r="F2" s="44" t="s">
        <v>8</v>
      </c>
      <c r="G2" s="44" t="s">
        <v>10</v>
      </c>
      <c r="H2" s="44" t="s">
        <v>11</v>
      </c>
    </row>
    <row r="3" spans="1:8" ht="12" x14ac:dyDescent="0.2">
      <c r="A3" s="7">
        <v>900001</v>
      </c>
      <c r="B3" s="8" t="s">
        <v>12</v>
      </c>
      <c r="C3" s="101">
        <f t="shared" ref="C3:H3" si="0">C4+C9</f>
        <v>0</v>
      </c>
      <c r="D3" s="101">
        <f t="shared" si="0"/>
        <v>0</v>
      </c>
      <c r="E3" s="101">
        <f t="shared" si="0"/>
        <v>0</v>
      </c>
      <c r="F3" s="101">
        <f t="shared" si="0"/>
        <v>0</v>
      </c>
      <c r="G3" s="101">
        <f t="shared" si="0"/>
        <v>0</v>
      </c>
      <c r="H3" s="101">
        <f t="shared" si="0"/>
        <v>0</v>
      </c>
    </row>
    <row r="4" spans="1:8" ht="12" x14ac:dyDescent="0.2">
      <c r="A4" s="14">
        <v>21110</v>
      </c>
      <c r="B4" s="15" t="s">
        <v>68</v>
      </c>
      <c r="C4" s="102">
        <f t="shared" ref="C4:H4" si="1">SUM(C5:C8)</f>
        <v>0</v>
      </c>
      <c r="D4" s="102">
        <f t="shared" si="1"/>
        <v>0</v>
      </c>
      <c r="E4" s="102">
        <f t="shared" si="1"/>
        <v>0</v>
      </c>
      <c r="F4" s="102">
        <f t="shared" si="1"/>
        <v>0</v>
      </c>
      <c r="G4" s="102">
        <f t="shared" si="1"/>
        <v>0</v>
      </c>
      <c r="H4" s="102">
        <f t="shared" si="1"/>
        <v>0</v>
      </c>
    </row>
    <row r="5" spans="1:8" ht="12" x14ac:dyDescent="0.2">
      <c r="A5" s="14">
        <v>21111</v>
      </c>
      <c r="B5" s="16" t="s">
        <v>23</v>
      </c>
      <c r="C5" s="103"/>
      <c r="D5" s="103"/>
      <c r="E5" s="103"/>
      <c r="F5" s="103"/>
      <c r="G5" s="103"/>
      <c r="H5" s="103"/>
    </row>
    <row r="6" spans="1:8" ht="12" x14ac:dyDescent="0.2">
      <c r="A6" s="14">
        <v>21112</v>
      </c>
      <c r="B6" s="16" t="s">
        <v>24</v>
      </c>
      <c r="C6" s="103"/>
      <c r="D6" s="103"/>
      <c r="E6" s="103"/>
      <c r="F6" s="103"/>
      <c r="G6" s="103"/>
      <c r="H6" s="103"/>
    </row>
    <row r="7" spans="1:8" ht="12" x14ac:dyDescent="0.2">
      <c r="A7" s="14">
        <v>21113</v>
      </c>
      <c r="B7" s="16" t="s">
        <v>25</v>
      </c>
      <c r="C7" s="103"/>
      <c r="D7" s="103"/>
      <c r="E7" s="103"/>
      <c r="F7" s="103"/>
      <c r="G7" s="103"/>
      <c r="H7" s="103"/>
    </row>
    <row r="8" spans="1:8" ht="12" x14ac:dyDescent="0.2">
      <c r="A8" s="14">
        <v>21114</v>
      </c>
      <c r="B8" s="16" t="s">
        <v>26</v>
      </c>
      <c r="C8" s="103"/>
      <c r="D8" s="103"/>
      <c r="E8" s="103"/>
      <c r="F8" s="103"/>
      <c r="G8" s="103"/>
      <c r="H8" s="103"/>
    </row>
    <row r="9" spans="1:8" ht="12" x14ac:dyDescent="0.2">
      <c r="A9" s="19">
        <v>900002</v>
      </c>
      <c r="B9" s="15" t="s">
        <v>55</v>
      </c>
      <c r="C9" s="102">
        <f t="shared" ref="C9:H9" si="2">SUM(C10:C16)</f>
        <v>0</v>
      </c>
      <c r="D9" s="102">
        <f t="shared" si="2"/>
        <v>0</v>
      </c>
      <c r="E9" s="102">
        <f t="shared" si="2"/>
        <v>0</v>
      </c>
      <c r="F9" s="102">
        <f t="shared" si="2"/>
        <v>0</v>
      </c>
      <c r="G9" s="102">
        <f t="shared" si="2"/>
        <v>0</v>
      </c>
      <c r="H9" s="102">
        <f t="shared" si="2"/>
        <v>0</v>
      </c>
    </row>
    <row r="10" spans="1:8" ht="12" x14ac:dyDescent="0.2">
      <c r="A10" s="14">
        <v>21120</v>
      </c>
      <c r="B10" s="16" t="s">
        <v>28</v>
      </c>
      <c r="C10" s="103"/>
      <c r="D10" s="103"/>
      <c r="E10" s="103"/>
      <c r="F10" s="103"/>
      <c r="G10" s="103"/>
      <c r="H10" s="103"/>
    </row>
    <row r="11" spans="1:8" ht="12" x14ac:dyDescent="0.2">
      <c r="A11" s="14">
        <v>21130</v>
      </c>
      <c r="B11" s="16" t="s">
        <v>27</v>
      </c>
      <c r="C11" s="103"/>
      <c r="D11" s="103"/>
      <c r="E11" s="103"/>
      <c r="F11" s="103"/>
      <c r="G11" s="103"/>
      <c r="H11" s="103"/>
    </row>
    <row r="12" spans="1:8" ht="12" x14ac:dyDescent="0.2">
      <c r="A12" s="14">
        <v>21210</v>
      </c>
      <c r="B12" s="16" t="s">
        <v>29</v>
      </c>
      <c r="C12" s="103"/>
      <c r="D12" s="103"/>
      <c r="E12" s="103"/>
      <c r="F12" s="103"/>
      <c r="G12" s="103"/>
      <c r="H12" s="103"/>
    </row>
    <row r="13" spans="1:8" ht="12" x14ac:dyDescent="0.2">
      <c r="A13" s="14">
        <v>21220</v>
      </c>
      <c r="B13" s="16" t="s">
        <v>53</v>
      </c>
      <c r="C13" s="103"/>
      <c r="D13" s="103"/>
      <c r="E13" s="103"/>
      <c r="F13" s="103"/>
      <c r="G13" s="103"/>
      <c r="H13" s="103"/>
    </row>
    <row r="14" spans="1:8" ht="12" x14ac:dyDescent="0.2">
      <c r="A14" s="14">
        <v>22200</v>
      </c>
      <c r="B14" s="16" t="s">
        <v>54</v>
      </c>
      <c r="C14" s="103"/>
      <c r="D14" s="103"/>
      <c r="E14" s="103"/>
      <c r="F14" s="103"/>
      <c r="G14" s="103"/>
      <c r="H14" s="103"/>
    </row>
    <row r="15" spans="1:8" ht="12" x14ac:dyDescent="0.2">
      <c r="A15" s="20">
        <v>22300</v>
      </c>
      <c r="B15" s="21" t="s">
        <v>69</v>
      </c>
      <c r="C15" s="103"/>
      <c r="D15" s="103"/>
      <c r="E15" s="103"/>
      <c r="F15" s="103"/>
      <c r="G15" s="103"/>
      <c r="H15" s="103"/>
    </row>
    <row r="16" spans="1:8" ht="12" x14ac:dyDescent="0.2">
      <c r="A16" s="17">
        <v>22400</v>
      </c>
      <c r="B16" s="18" t="s">
        <v>30</v>
      </c>
      <c r="C16" s="103"/>
      <c r="D16" s="103"/>
      <c r="E16" s="103"/>
      <c r="F16" s="103"/>
      <c r="G16" s="103"/>
      <c r="H16" s="103"/>
    </row>
  </sheetData>
  <sheetProtection algorithmName="SHA-512" hashValue="eF32DgxOQnuYEOE1BhaArRl+6FE0xhf9koKI58gvbncv49Tq2oDOkma9mCq17ap08Ob2lrYsKbh2qWHmvuPcvw==" saltValue="SmJwWUdYlPB9pl9ZZnuO+w==" spinCount="100000" sheet="1" objects="1" scenarios="1" autoFilter="0"/>
  <protectedRanges>
    <protectedRange sqref="C3:H3" name="Rango1_2"/>
  </protectedRanges>
  <mergeCells count="1">
    <mergeCell ref="A1:H1"/>
  </mergeCells>
  <dataValidations count="8">
    <dataValidation allowBlank="1" showInputMessage="1" showErrorMessage="1" prompt="Modificado menos devengado" sqref="H2"/>
    <dataValidation allowBlank="1" showInputMessage="1" showErrorMessage="1" prompt="Refleja las modificaciones realizadas al Presupuesto Aprobado" sqref="D2"/>
    <dataValidation allowBlank="1" showInputMessage="1" showErrorMessage="1" prompt="De acuerdo a la Clasificación Administrativa, publicada en el DOF del 7 de julio de 2011." sqref="A2"/>
    <dataValidation allowBlank="1" showInputMessage="1" showErrorMessage="1" prompt="Se refiere al nombre que se asigna a cada uno de los desagregados que se señalan." sqref="B2"/>
    <dataValidation allowBlank="1" showInputMessage="1" showErrorMessage="1" prompt="Refleja las asignaciones presupuestarias anuales comprometidas en el Presupuesto de Egresos." sqref="C2"/>
    <dataValidation allowBlank="1" showInputMessage="1" showErrorMessage="1" prompt="Es el momento que refleja la asignación presupuestaria que resulta de incorporar; en su caso, las adecuaciones presupuestarias al presupuesto aprobado." sqref="E2"/>
    <dataValidation allowBlank="1" showInputMessage="1" showErrorMessage="1" prompt="En esta columna deben registrarse los &quot;cargos&quot; del devengado. Este momento contable refleja el reconocimiento de una obligación de pago a favor de terceros por la recepción de conformidad de bienes, servicios y obras oportunamente..." sqref="F2"/>
    <dataValidation allowBlank="1" showInputMessage="1" showErrorMessage="1" prompt="Es el momento que refleja la cancelación total o parcial de las obligaciones de pago, que se concreta mediante el desembolso de efectivo o cualquier otro medio de pago." sqref="G2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showGridLines="0" workbookViewId="0">
      <selection activeCell="A21" sqref="A21"/>
    </sheetView>
  </sheetViews>
  <sheetFormatPr baseColWidth="10" defaultRowHeight="11.25" x14ac:dyDescent="0.2"/>
  <cols>
    <col min="1" max="1" width="9.1640625" style="1" customWidth="1"/>
    <col min="2" max="2" width="72.83203125" style="1" customWidth="1"/>
    <col min="3" max="8" width="18.33203125" style="46" customWidth="1"/>
    <col min="9" max="16384" width="12" style="1"/>
  </cols>
  <sheetData>
    <row r="1" spans="1:8" ht="35.1" customHeight="1" x14ac:dyDescent="0.2">
      <c r="A1" s="148" t="s">
        <v>338</v>
      </c>
      <c r="B1" s="149"/>
      <c r="C1" s="149"/>
      <c r="D1" s="149"/>
      <c r="E1" s="149"/>
      <c r="F1" s="149"/>
      <c r="G1" s="149"/>
      <c r="H1" s="150"/>
    </row>
    <row r="2" spans="1:8" ht="24.95" customHeight="1" x14ac:dyDescent="0.2">
      <c r="A2" s="45" t="s">
        <v>2</v>
      </c>
      <c r="B2" s="43" t="s">
        <v>4</v>
      </c>
      <c r="C2" s="44" t="s">
        <v>5</v>
      </c>
      <c r="D2" s="44" t="s">
        <v>142</v>
      </c>
      <c r="E2" s="44" t="s">
        <v>6</v>
      </c>
      <c r="F2" s="44" t="s">
        <v>8</v>
      </c>
      <c r="G2" s="44" t="s">
        <v>10</v>
      </c>
      <c r="H2" s="44" t="s">
        <v>11</v>
      </c>
    </row>
    <row r="3" spans="1:8" x14ac:dyDescent="0.2">
      <c r="A3" s="24">
        <v>900001</v>
      </c>
      <c r="B3" s="3" t="s">
        <v>12</v>
      </c>
      <c r="C3" s="5">
        <f>C4</f>
        <v>52030352</v>
      </c>
      <c r="D3" s="5">
        <f t="shared" ref="D3:H3" si="0">D4</f>
        <v>8016470.1500000022</v>
      </c>
      <c r="E3" s="5">
        <f t="shared" si="0"/>
        <v>60046822.150000006</v>
      </c>
      <c r="F3" s="5">
        <f t="shared" si="0"/>
        <v>12063354.279999999</v>
      </c>
      <c r="G3" s="5">
        <f t="shared" si="0"/>
        <v>11359607.170000002</v>
      </c>
      <c r="H3" s="5">
        <f t="shared" si="0"/>
        <v>47983467.870000005</v>
      </c>
    </row>
    <row r="4" spans="1:8" ht="12" x14ac:dyDescent="0.2">
      <c r="A4" s="104" t="s">
        <v>309</v>
      </c>
      <c r="B4" s="104" t="s">
        <v>310</v>
      </c>
      <c r="C4" s="105">
        <f t="shared" ref="C4:H4" si="1">SUBTOTAL(9,C5:C23)</f>
        <v>52030352</v>
      </c>
      <c r="D4" s="105">
        <f t="shared" si="1"/>
        <v>8016470.1500000022</v>
      </c>
      <c r="E4" s="105">
        <f t="shared" si="1"/>
        <v>60046822.150000006</v>
      </c>
      <c r="F4" s="105">
        <f t="shared" si="1"/>
        <v>12063354.279999999</v>
      </c>
      <c r="G4" s="105">
        <f t="shared" si="1"/>
        <v>11359607.170000002</v>
      </c>
      <c r="H4" s="105">
        <f t="shared" si="1"/>
        <v>47983467.870000005</v>
      </c>
    </row>
    <row r="5" spans="1:8" ht="12" x14ac:dyDescent="0.2">
      <c r="A5" s="104" t="s">
        <v>311</v>
      </c>
      <c r="B5" s="104" t="s">
        <v>312</v>
      </c>
      <c r="C5" s="105">
        <f t="shared" ref="C5:H5" si="2">SUBTOTAL(9,C6:C23)</f>
        <v>52030352</v>
      </c>
      <c r="D5" s="105">
        <f t="shared" si="2"/>
        <v>8016470.1500000022</v>
      </c>
      <c r="E5" s="105">
        <f t="shared" si="2"/>
        <v>60046822.150000006</v>
      </c>
      <c r="F5" s="105">
        <f t="shared" si="2"/>
        <v>12063354.279999999</v>
      </c>
      <c r="G5" s="105">
        <f t="shared" si="2"/>
        <v>11359607.170000002</v>
      </c>
      <c r="H5" s="105">
        <f t="shared" si="2"/>
        <v>47983467.870000005</v>
      </c>
    </row>
    <row r="6" spans="1:8" ht="12" x14ac:dyDescent="0.2">
      <c r="A6" s="104" t="s">
        <v>313</v>
      </c>
      <c r="B6" s="104" t="s">
        <v>314</v>
      </c>
      <c r="C6" s="105">
        <f t="shared" ref="C6:H6" si="3">SUBTOTAL(9,C7:C23)</f>
        <v>52030352</v>
      </c>
      <c r="D6" s="105">
        <f t="shared" si="3"/>
        <v>8016470.1500000022</v>
      </c>
      <c r="E6" s="105">
        <f t="shared" si="3"/>
        <v>60046822.150000006</v>
      </c>
      <c r="F6" s="105">
        <f t="shared" si="3"/>
        <v>12063354.279999999</v>
      </c>
      <c r="G6" s="105">
        <f t="shared" si="3"/>
        <v>11359607.170000002</v>
      </c>
      <c r="H6" s="105">
        <f t="shared" si="3"/>
        <v>47983467.870000005</v>
      </c>
    </row>
    <row r="7" spans="1:8" ht="12" x14ac:dyDescent="0.2">
      <c r="A7" s="104" t="s">
        <v>315</v>
      </c>
      <c r="B7" s="104" t="s">
        <v>28</v>
      </c>
      <c r="C7" s="105">
        <f t="shared" ref="C7:H7" si="4">SUBTOTAL(9,C8:C23)</f>
        <v>52030352</v>
      </c>
      <c r="D7" s="105">
        <f t="shared" si="4"/>
        <v>8016470.1500000022</v>
      </c>
      <c r="E7" s="105">
        <f t="shared" si="4"/>
        <v>60046822.150000006</v>
      </c>
      <c r="F7" s="105">
        <f t="shared" si="4"/>
        <v>12063354.279999999</v>
      </c>
      <c r="G7" s="105">
        <f t="shared" si="4"/>
        <v>11359607.170000002</v>
      </c>
      <c r="H7" s="105">
        <f t="shared" si="4"/>
        <v>47983467.870000005</v>
      </c>
    </row>
    <row r="8" spans="1:8" ht="12" x14ac:dyDescent="0.2">
      <c r="A8" s="106" t="s">
        <v>316</v>
      </c>
      <c r="B8" s="106" t="s">
        <v>317</v>
      </c>
      <c r="C8" s="103">
        <f>EAEPE!H4</f>
        <v>3337968</v>
      </c>
      <c r="D8" s="103">
        <f>EAEPE!I4</f>
        <v>20510.060000000001</v>
      </c>
      <c r="E8" s="103">
        <f>EAEPE!J4</f>
        <v>3358478.06</v>
      </c>
      <c r="F8" s="103">
        <f>EAEPE!L4</f>
        <v>920689.21</v>
      </c>
      <c r="G8" s="103">
        <f>EAEPE!N4</f>
        <v>901668.54999999981</v>
      </c>
      <c r="H8" s="103">
        <f>E8-F8</f>
        <v>2437788.85</v>
      </c>
    </row>
    <row r="9" spans="1:8" ht="12" x14ac:dyDescent="0.2">
      <c r="A9" s="106" t="s">
        <v>318</v>
      </c>
      <c r="B9" s="106" t="s">
        <v>319</v>
      </c>
      <c r="C9" s="103">
        <f>EAEPE!H120</f>
        <v>2326852</v>
      </c>
      <c r="D9" s="103">
        <f>EAEPE!I120</f>
        <v>172624.81</v>
      </c>
      <c r="E9" s="103">
        <f>EAEPE!J120</f>
        <v>2499476.8100000005</v>
      </c>
      <c r="F9" s="103">
        <f>EAEPE!L120</f>
        <v>464409.70999999996</v>
      </c>
      <c r="G9" s="103">
        <f>EAEPE!N120</f>
        <v>422422.57000000018</v>
      </c>
      <c r="H9" s="103">
        <f t="shared" ref="H9:H16" si="5">E9-F9</f>
        <v>2035067.1000000006</v>
      </c>
    </row>
    <row r="10" spans="1:8" ht="12" x14ac:dyDescent="0.2">
      <c r="A10" s="106" t="s">
        <v>320</v>
      </c>
      <c r="B10" s="106" t="s">
        <v>321</v>
      </c>
      <c r="C10" s="103">
        <f>EAEPE!H237</f>
        <v>1832177</v>
      </c>
      <c r="D10" s="103">
        <f>EAEPE!I237</f>
        <v>26041.86</v>
      </c>
      <c r="E10" s="103">
        <f>EAEPE!J237</f>
        <v>1858218.8599999999</v>
      </c>
      <c r="F10" s="103">
        <f>EAEPE!L237</f>
        <v>411859.82999999996</v>
      </c>
      <c r="G10" s="103">
        <f>EAEPE!N237</f>
        <v>382166.29</v>
      </c>
      <c r="H10" s="103">
        <f t="shared" si="5"/>
        <v>1446359.0299999998</v>
      </c>
    </row>
    <row r="11" spans="1:8" ht="12" x14ac:dyDescent="0.2">
      <c r="A11" s="106" t="s">
        <v>322</v>
      </c>
      <c r="B11" s="106" t="s">
        <v>323</v>
      </c>
      <c r="C11" s="103">
        <f>EAEPE!H352</f>
        <v>3071541</v>
      </c>
      <c r="D11" s="103">
        <f>EAEPE!I352</f>
        <v>200161.8000000001</v>
      </c>
      <c r="E11" s="103">
        <f>EAEPE!J352</f>
        <v>3271702.8000000003</v>
      </c>
      <c r="F11" s="103">
        <f>EAEPE!L352</f>
        <v>996291.39999999991</v>
      </c>
      <c r="G11" s="103">
        <f>EAEPE!N352</f>
        <v>958612.92</v>
      </c>
      <c r="H11" s="103">
        <f t="shared" si="5"/>
        <v>2275411.4000000004</v>
      </c>
    </row>
    <row r="12" spans="1:8" ht="12" x14ac:dyDescent="0.2">
      <c r="A12" s="106" t="s">
        <v>324</v>
      </c>
      <c r="B12" s="106" t="s">
        <v>325</v>
      </c>
      <c r="C12" s="103">
        <f>EAEPE!H467</f>
        <v>1047753</v>
      </c>
      <c r="D12" s="103">
        <f>EAEPE!I467</f>
        <v>13726.249999999985</v>
      </c>
      <c r="E12" s="103">
        <f>EAEPE!J467</f>
        <v>1061479.25</v>
      </c>
      <c r="F12" s="103">
        <f>EAEPE!L467</f>
        <v>211728.59999999998</v>
      </c>
      <c r="G12" s="103">
        <f>EAEPE!N467</f>
        <v>1098.9700000000701</v>
      </c>
      <c r="H12" s="103">
        <f t="shared" si="5"/>
        <v>849750.65</v>
      </c>
    </row>
    <row r="13" spans="1:8" ht="12" x14ac:dyDescent="0.2">
      <c r="A13" s="106" t="s">
        <v>326</v>
      </c>
      <c r="B13" s="106" t="s">
        <v>327</v>
      </c>
      <c r="C13" s="103">
        <f>EAEPE!H585</f>
        <v>1147631</v>
      </c>
      <c r="D13" s="103">
        <f>EAEPE!I585</f>
        <v>10495.970000000008</v>
      </c>
      <c r="E13" s="103">
        <f>EAEPE!J585</f>
        <v>1158126.97</v>
      </c>
      <c r="F13" s="103">
        <f>EAEPE!L585</f>
        <v>137441.79000000004</v>
      </c>
      <c r="G13" s="103">
        <f>EAEPE!N585</f>
        <v>123652.69999999992</v>
      </c>
      <c r="H13" s="103">
        <f t="shared" si="5"/>
        <v>1020685.1799999999</v>
      </c>
    </row>
    <row r="14" spans="1:8" ht="12" x14ac:dyDescent="0.2">
      <c r="A14" s="106" t="s">
        <v>328</v>
      </c>
      <c r="B14" s="106" t="s">
        <v>329</v>
      </c>
      <c r="C14" s="103">
        <f>EAEPE!H700</f>
        <v>4662045</v>
      </c>
      <c r="D14" s="103">
        <f>EAEPE!I700</f>
        <v>29631.380000000026</v>
      </c>
      <c r="E14" s="103">
        <f>EAEPE!J700</f>
        <v>4691676.3800000008</v>
      </c>
      <c r="F14" s="103">
        <f>EAEPE!L700</f>
        <v>1222460.93</v>
      </c>
      <c r="G14" s="103">
        <f>EAEPE!N700</f>
        <v>1011024.6900000001</v>
      </c>
      <c r="H14" s="103">
        <f t="shared" si="5"/>
        <v>3469215.4500000011</v>
      </c>
    </row>
    <row r="15" spans="1:8" ht="12" x14ac:dyDescent="0.2">
      <c r="A15" s="106" t="s">
        <v>330</v>
      </c>
      <c r="B15" s="106" t="s">
        <v>331</v>
      </c>
      <c r="C15" s="103">
        <f>EAEPE!H817</f>
        <v>20068827</v>
      </c>
      <c r="D15" s="103">
        <f>EAEPE!I817</f>
        <v>115684.75999999995</v>
      </c>
      <c r="E15" s="103">
        <f>EAEPE!J817</f>
        <v>20184511.760000002</v>
      </c>
      <c r="F15" s="103">
        <f>EAEPE!L817</f>
        <v>4888335.05</v>
      </c>
      <c r="G15" s="103">
        <f>EAEPE!N817</f>
        <v>4774668.6700000018</v>
      </c>
      <c r="H15" s="103">
        <f t="shared" si="5"/>
        <v>15296176.710000001</v>
      </c>
    </row>
    <row r="16" spans="1:8" ht="12" x14ac:dyDescent="0.2">
      <c r="A16" s="106" t="s">
        <v>332</v>
      </c>
      <c r="B16" s="106" t="s">
        <v>333</v>
      </c>
      <c r="C16" s="103">
        <f>EAEPE!H935</f>
        <v>14535558</v>
      </c>
      <c r="D16" s="103">
        <f>EAEPE!I935</f>
        <v>7427593.2600000016</v>
      </c>
      <c r="E16" s="103">
        <f>EAEPE!J935</f>
        <v>21963151.260000002</v>
      </c>
      <c r="F16" s="103">
        <f>EAEPE!L935</f>
        <v>2810137.76</v>
      </c>
      <c r="G16" s="103">
        <f>EAEPE!N935</f>
        <v>2784291.81</v>
      </c>
      <c r="H16" s="103">
        <f t="shared" si="5"/>
        <v>19153013.5</v>
      </c>
    </row>
  </sheetData>
  <sheetProtection algorithmName="SHA-512" hashValue="eFWQsZJZ9U2zmhI0IVLeR+g/nhOweeWp/c0saAwxgIfa5y5ZlF1qtuMgrmIXhZ7wlB0vVkyAYdtb2d7PAk11Sw==" saltValue="9HbmX0u5kMubebffg/AaKA==" spinCount="100000" sheet="1" objects="1" scenarios="1" insertRows="0" deleteRows="0" autoFilter="0"/>
  <protectedRanges>
    <protectedRange sqref="C3:H3" name="Rango1_2"/>
  </protectedRanges>
  <mergeCells count="1">
    <mergeCell ref="A1:H1"/>
  </mergeCells>
  <dataValidations count="8">
    <dataValidation allowBlank="1" showInputMessage="1" showErrorMessage="1" prompt="Es el momento que refleja la cancelación total o parcial de las obligaciones de pago, que se concreta mediante el desembolso de efectivo o cualquier otro medio de pago." sqref="G2"/>
    <dataValidation allowBlank="1" showInputMessage="1" showErrorMessage="1" prompt="En esta columna deben registrarse los &quot;cargos&quot; del devengado. Este momento contable refleja el reconocimiento de una obligación de pago a favor de terceros por la recepción de conformidad de bienes, servicios y obras oportunamente..." sqref="F2"/>
    <dataValidation allowBlank="1" showInputMessage="1" showErrorMessage="1" prompt="Es el momento que refleja la asignación presupuestaria que resulta de incorporar; en su caso, las adecuaciones presupuestarias al presupuesto aprobado." sqref="E2"/>
    <dataValidation allowBlank="1" showInputMessage="1" showErrorMessage="1" prompt="Refleja las asignaciones presupuestarias anuales comprometidas en el Presupuesto de Egresos." sqref="C2"/>
    <dataValidation allowBlank="1" showInputMessage="1" showErrorMessage="1" prompt="Se refiere al nombre que se asigna a cada uno de los desagregados que se señalan." sqref="B2"/>
    <dataValidation allowBlank="1" showInputMessage="1" showErrorMessage="1" prompt="De acuerdo a la Clasificación Administrativa, publicada en el DOF del 7 de julio de 2011.  Además incluir la UR, separado por guion (CA - UR)." sqref="A2"/>
    <dataValidation allowBlank="1" showInputMessage="1" showErrorMessage="1" prompt="Refleja las modificaciones realizadas al Presupuesto Aprobado" sqref="D2"/>
    <dataValidation allowBlank="1" showInputMessage="1" showErrorMessage="1" prompt="Modificado menos devengado" sqref="H2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Hoja1</vt:lpstr>
      <vt:lpstr>GCP</vt:lpstr>
      <vt:lpstr>EAEPE</vt:lpstr>
      <vt:lpstr>CFG</vt:lpstr>
      <vt:lpstr>COG</vt:lpstr>
      <vt:lpstr>CTG</vt:lpstr>
      <vt:lpstr>CA_Ayuntamiento</vt:lpstr>
      <vt:lpstr>CA_Ejecutivo_Estatal</vt:lpstr>
      <vt:lpstr>CA_No_Central</vt:lpstr>
      <vt:lpstr>Hoja2</vt:lpstr>
      <vt:lpstr>COG!Títulos_a_imprimir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CONTABILIDAD</cp:lastModifiedBy>
  <cp:lastPrinted>2017-04-26T18:29:47Z</cp:lastPrinted>
  <dcterms:created xsi:type="dcterms:W3CDTF">2014-02-10T03:37:14Z</dcterms:created>
  <dcterms:modified xsi:type="dcterms:W3CDTF">2017-09-26T15:06:28Z</dcterms:modified>
</cp:coreProperties>
</file>